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Исходные данные" sheetId="4" r:id="rId1"/>
    <sheet name="Финмодель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5" l="1"/>
  <c r="K36" i="4" l="1"/>
  <c r="Y36" i="4" s="1"/>
  <c r="D23" i="4"/>
  <c r="C23" i="4" s="1"/>
  <c r="L36" i="4" l="1"/>
  <c r="Z36" i="4" s="1"/>
  <c r="D24" i="4"/>
  <c r="F23" i="4"/>
  <c r="D25" i="4" l="1"/>
  <c r="M36" i="4"/>
  <c r="AA36" i="4" s="1"/>
  <c r="F24" i="4"/>
  <c r="D26" i="4"/>
  <c r="F25" i="4"/>
  <c r="C24" i="4"/>
  <c r="E176" i="5"/>
  <c r="E175" i="5"/>
  <c r="E174" i="5"/>
  <c r="E173" i="5"/>
  <c r="E172" i="5"/>
  <c r="E171" i="5"/>
  <c r="E170" i="5"/>
  <c r="E169" i="5"/>
  <c r="E167" i="5"/>
  <c r="E166" i="5"/>
  <c r="E165" i="5"/>
  <c r="E164" i="5"/>
  <c r="E163" i="5"/>
  <c r="E162" i="5"/>
  <c r="E161" i="5"/>
  <c r="E160" i="5"/>
  <c r="E158" i="5"/>
  <c r="E157" i="5"/>
  <c r="E156" i="5"/>
  <c r="E155" i="5"/>
  <c r="E154" i="5"/>
  <c r="E153" i="5"/>
  <c r="E152" i="5"/>
  <c r="E151" i="5"/>
  <c r="E149" i="5"/>
  <c r="E148" i="5"/>
  <c r="E147" i="5"/>
  <c r="E146" i="5"/>
  <c r="E145" i="5"/>
  <c r="E144" i="5"/>
  <c r="E143" i="5"/>
  <c r="E142" i="5"/>
  <c r="E140" i="5"/>
  <c r="E139" i="5"/>
  <c r="E138" i="5"/>
  <c r="E137" i="5"/>
  <c r="E136" i="5"/>
  <c r="E135" i="5"/>
  <c r="E134" i="5"/>
  <c r="E133" i="5"/>
  <c r="E131" i="5"/>
  <c r="E130" i="5"/>
  <c r="E129" i="5"/>
  <c r="E128" i="5"/>
  <c r="E127" i="5"/>
  <c r="E126" i="5"/>
  <c r="E125" i="5"/>
  <c r="E124" i="5"/>
  <c r="E122" i="5"/>
  <c r="E121" i="5"/>
  <c r="E120" i="5"/>
  <c r="E119" i="5"/>
  <c r="E118" i="5"/>
  <c r="E117" i="5"/>
  <c r="E116" i="5"/>
  <c r="E115" i="5"/>
  <c r="E113" i="5"/>
  <c r="E112" i="5"/>
  <c r="E111" i="5"/>
  <c r="E110" i="5"/>
  <c r="E109" i="5"/>
  <c r="E108" i="5"/>
  <c r="E107" i="5"/>
  <c r="E106" i="5"/>
  <c r="E104" i="5"/>
  <c r="E103" i="5"/>
  <c r="E102" i="5"/>
  <c r="E101" i="5"/>
  <c r="E100" i="5"/>
  <c r="E99" i="5"/>
  <c r="E98" i="5"/>
  <c r="E97" i="5"/>
  <c r="E95" i="5"/>
  <c r="E94" i="5"/>
  <c r="E93" i="5"/>
  <c r="E92" i="5"/>
  <c r="E91" i="5"/>
  <c r="E90" i="5"/>
  <c r="E89" i="5"/>
  <c r="E88" i="5"/>
  <c r="E86" i="5"/>
  <c r="E85" i="5"/>
  <c r="E84" i="5"/>
  <c r="E83" i="5"/>
  <c r="E82" i="5"/>
  <c r="E81" i="5"/>
  <c r="E80" i="5"/>
  <c r="E79" i="5"/>
  <c r="E77" i="5"/>
  <c r="E76" i="5"/>
  <c r="E75" i="5"/>
  <c r="E74" i="5"/>
  <c r="E73" i="5"/>
  <c r="E72" i="5"/>
  <c r="E71" i="5"/>
  <c r="E70" i="5"/>
  <c r="F26" i="4" l="1"/>
  <c r="O36" i="4"/>
  <c r="AC36" i="4" s="1"/>
  <c r="C25" i="4"/>
  <c r="N36" i="4"/>
  <c r="AB36" i="4" s="1"/>
  <c r="D27" i="4"/>
  <c r="C26" i="4"/>
  <c r="F27" i="4"/>
  <c r="E168" i="5"/>
  <c r="E159" i="5"/>
  <c r="E150" i="5"/>
  <c r="E141" i="5"/>
  <c r="E132" i="5"/>
  <c r="E123" i="5"/>
  <c r="E114" i="5"/>
  <c r="E105" i="5"/>
  <c r="E96" i="5"/>
  <c r="E87" i="5"/>
  <c r="E78" i="5"/>
  <c r="E69" i="5"/>
  <c r="D28" i="4" l="1"/>
  <c r="Q36" i="4" s="1"/>
  <c r="AE36" i="4" s="1"/>
  <c r="P36" i="4"/>
  <c r="AD36" i="4" s="1"/>
  <c r="C27" i="4"/>
  <c r="D29" i="4"/>
  <c r="R36" i="4" s="1"/>
  <c r="AF36" i="4" s="1"/>
  <c r="C28" i="4"/>
  <c r="F28" i="4"/>
  <c r="E68" i="5"/>
  <c r="E67" i="5"/>
  <c r="E66" i="5"/>
  <c r="E65" i="5"/>
  <c r="E64" i="5"/>
  <c r="E63" i="5"/>
  <c r="E62" i="5"/>
  <c r="E61" i="5"/>
  <c r="E43" i="5"/>
  <c r="C29" i="4" l="1"/>
  <c r="D30" i="4"/>
  <c r="S36" i="4" s="1"/>
  <c r="AG36" i="4" s="1"/>
  <c r="F29" i="4"/>
  <c r="E60" i="5"/>
  <c r="E50" i="5"/>
  <c r="E49" i="5"/>
  <c r="E48" i="5"/>
  <c r="E47" i="5"/>
  <c r="E46" i="5"/>
  <c r="E45" i="5"/>
  <c r="E44" i="5"/>
  <c r="E7" i="5"/>
  <c r="C30" i="4" l="1"/>
  <c r="C31" i="4" s="1"/>
  <c r="F30" i="4"/>
  <c r="E42" i="5"/>
  <c r="E41" i="5"/>
  <c r="E40" i="5"/>
  <c r="E39" i="5"/>
  <c r="E38" i="5"/>
  <c r="E37" i="5"/>
  <c r="E36" i="5"/>
  <c r="E35" i="5"/>
  <c r="E34" i="5"/>
  <c r="E32" i="5"/>
  <c r="E31" i="5"/>
  <c r="E30" i="5"/>
  <c r="E29" i="5"/>
  <c r="E28" i="5"/>
  <c r="E27" i="5"/>
  <c r="E26" i="5"/>
  <c r="E25" i="5"/>
  <c r="C56" i="4"/>
  <c r="D38" i="4"/>
  <c r="F22" i="4"/>
  <c r="F21" i="4"/>
  <c r="E20" i="4"/>
  <c r="E21" i="4"/>
  <c r="E22" i="4"/>
  <c r="J36" i="4"/>
  <c r="X36" i="4" s="1"/>
  <c r="I36" i="4"/>
  <c r="W36" i="4" s="1"/>
  <c r="H36" i="4"/>
  <c r="V36" i="4" s="1"/>
  <c r="G36" i="4"/>
  <c r="U36" i="4" s="1"/>
  <c r="F36" i="4"/>
  <c r="T36" i="4" s="1"/>
  <c r="F19" i="4"/>
  <c r="F16" i="4"/>
  <c r="D37" i="4" s="1"/>
  <c r="F18" i="4"/>
  <c r="F20" i="4"/>
  <c r="F17" i="4"/>
  <c r="E57" i="5" l="1"/>
  <c r="E53" i="5"/>
  <c r="E54" i="5"/>
  <c r="E52" i="5"/>
  <c r="E56" i="5"/>
  <c r="E58" i="5"/>
  <c r="E59" i="5"/>
  <c r="E55" i="5"/>
  <c r="E33" i="5"/>
  <c r="E24" i="5"/>
  <c r="E23" i="5"/>
  <c r="E22" i="5"/>
  <c r="E21" i="5"/>
  <c r="E20" i="5"/>
  <c r="E19" i="5"/>
  <c r="E18" i="5"/>
  <c r="E17" i="5"/>
  <c r="E16" i="5"/>
  <c r="E8" i="5"/>
  <c r="E9" i="5"/>
  <c r="E10" i="5"/>
  <c r="E11" i="5"/>
  <c r="E12" i="5"/>
  <c r="E13" i="5"/>
  <c r="E14" i="5"/>
  <c r="D6" i="5"/>
  <c r="K6" i="5" s="1"/>
  <c r="E51" i="5" l="1"/>
  <c r="L167" i="5"/>
  <c r="L158" i="5"/>
  <c r="L68" i="5"/>
  <c r="L131" i="5"/>
  <c r="L122" i="5"/>
  <c r="L113" i="5"/>
  <c r="L104" i="5"/>
  <c r="L95" i="5"/>
  <c r="L86" i="5"/>
  <c r="L176" i="5"/>
  <c r="L77" i="5"/>
  <c r="L41" i="5"/>
  <c r="L149" i="5"/>
  <c r="L140" i="5"/>
  <c r="L50" i="5"/>
  <c r="L59" i="5"/>
  <c r="L23" i="5"/>
  <c r="L130" i="5"/>
  <c r="L121" i="5"/>
  <c r="L112" i="5"/>
  <c r="L103" i="5"/>
  <c r="L94" i="5"/>
  <c r="L85" i="5"/>
  <c r="L175" i="5"/>
  <c r="L148" i="5"/>
  <c r="L139" i="5"/>
  <c r="L76" i="5"/>
  <c r="L67" i="5"/>
  <c r="L40" i="5"/>
  <c r="L58" i="5"/>
  <c r="L49" i="5"/>
  <c r="L22" i="5"/>
  <c r="L31" i="5"/>
  <c r="L166" i="5"/>
  <c r="L157" i="5"/>
  <c r="L126" i="5"/>
  <c r="L117" i="5"/>
  <c r="L108" i="5"/>
  <c r="L99" i="5"/>
  <c r="L90" i="5"/>
  <c r="L81" i="5"/>
  <c r="L171" i="5"/>
  <c r="L144" i="5"/>
  <c r="L135" i="5"/>
  <c r="L72" i="5"/>
  <c r="L63" i="5"/>
  <c r="L36" i="5"/>
  <c r="L54" i="5"/>
  <c r="L45" i="5"/>
  <c r="L18" i="5"/>
  <c r="L162" i="5"/>
  <c r="L153" i="5"/>
  <c r="L170" i="5"/>
  <c r="L143" i="5"/>
  <c r="L134" i="5"/>
  <c r="L71" i="5"/>
  <c r="L35" i="5"/>
  <c r="L53" i="5"/>
  <c r="L44" i="5"/>
  <c r="L17" i="5"/>
  <c r="L161" i="5"/>
  <c r="L152" i="5"/>
  <c r="L62" i="5"/>
  <c r="L125" i="5"/>
  <c r="L116" i="5"/>
  <c r="L107" i="5"/>
  <c r="L98" i="5"/>
  <c r="L89" i="5"/>
  <c r="L80" i="5"/>
  <c r="L163" i="5"/>
  <c r="L154" i="5"/>
  <c r="L64" i="5"/>
  <c r="L127" i="5"/>
  <c r="L118" i="5"/>
  <c r="L109" i="5"/>
  <c r="L100" i="5"/>
  <c r="L91" i="5"/>
  <c r="L82" i="5"/>
  <c r="L172" i="5"/>
  <c r="L145" i="5"/>
  <c r="L136" i="5"/>
  <c r="L73" i="5"/>
  <c r="L37" i="5"/>
  <c r="L55" i="5"/>
  <c r="L19" i="5"/>
  <c r="L46" i="5"/>
  <c r="L174" i="5"/>
  <c r="L147" i="5"/>
  <c r="L138" i="5"/>
  <c r="L75" i="5"/>
  <c r="L39" i="5"/>
  <c r="L57" i="5"/>
  <c r="L48" i="5"/>
  <c r="L21" i="5"/>
  <c r="L165" i="5"/>
  <c r="L156" i="5"/>
  <c r="L66" i="5"/>
  <c r="L129" i="5"/>
  <c r="L120" i="5"/>
  <c r="L111" i="5"/>
  <c r="L102" i="5"/>
  <c r="L93" i="5"/>
  <c r="L84" i="5"/>
  <c r="L56" i="5"/>
  <c r="L47" i="5"/>
  <c r="L20" i="5"/>
  <c r="L164" i="5"/>
  <c r="L155" i="5"/>
  <c r="L128" i="5"/>
  <c r="L119" i="5"/>
  <c r="L110" i="5"/>
  <c r="L101" i="5"/>
  <c r="L92" i="5"/>
  <c r="L83" i="5"/>
  <c r="L173" i="5"/>
  <c r="L146" i="5"/>
  <c r="L137" i="5"/>
  <c r="L74" i="5"/>
  <c r="L65" i="5"/>
  <c r="L38" i="5"/>
  <c r="L160" i="5"/>
  <c r="L16" i="5"/>
  <c r="L124" i="5"/>
  <c r="L88" i="5"/>
  <c r="L61" i="5"/>
  <c r="L97" i="5"/>
  <c r="L43" i="5"/>
  <c r="L151" i="5"/>
  <c r="L115" i="5"/>
  <c r="L79" i="5"/>
  <c r="L52" i="5"/>
  <c r="L34" i="5"/>
  <c r="L142" i="5"/>
  <c r="L106" i="5"/>
  <c r="L70" i="5"/>
  <c r="L25" i="5"/>
  <c r="L133" i="5"/>
  <c r="L169" i="5"/>
  <c r="C7" i="5"/>
  <c r="L29" i="5"/>
  <c r="L27" i="5"/>
  <c r="L32" i="5"/>
  <c r="L28" i="5"/>
  <c r="L30" i="5"/>
  <c r="L26" i="5"/>
  <c r="L7" i="5"/>
  <c r="L14" i="5"/>
  <c r="L10" i="5"/>
  <c r="L13" i="5"/>
  <c r="L9" i="5"/>
  <c r="L11" i="5"/>
  <c r="L12" i="5"/>
  <c r="L8" i="5"/>
  <c r="C14" i="5"/>
  <c r="C10" i="5"/>
  <c r="C12" i="5"/>
  <c r="C13" i="5"/>
  <c r="C9" i="5"/>
  <c r="C8" i="5"/>
  <c r="C11" i="5"/>
  <c r="B15" i="5"/>
  <c r="B24" i="5" s="1"/>
  <c r="B33" i="5" s="1"/>
  <c r="B42" i="5" s="1"/>
  <c r="B51" i="5" s="1"/>
  <c r="B60" i="5" s="1"/>
  <c r="B69" i="5" s="1"/>
  <c r="B78" i="5" s="1"/>
  <c r="B87" i="5" s="1"/>
  <c r="B96" i="5" s="1"/>
  <c r="B105" i="5" s="1"/>
  <c r="B114" i="5" s="1"/>
  <c r="B123" i="5" s="1"/>
  <c r="B132" i="5" s="1"/>
  <c r="B141" i="5" s="1"/>
  <c r="B150" i="5" s="1"/>
  <c r="B159" i="5" s="1"/>
  <c r="B168" i="5" s="1"/>
  <c r="B8" i="5"/>
  <c r="B17" i="5" s="1"/>
  <c r="B26" i="5" s="1"/>
  <c r="B35" i="5" s="1"/>
  <c r="B44" i="5" s="1"/>
  <c r="B53" i="5" s="1"/>
  <c r="B62" i="5" s="1"/>
  <c r="B71" i="5" s="1"/>
  <c r="B80" i="5" s="1"/>
  <c r="B89" i="5" s="1"/>
  <c r="B98" i="5" s="1"/>
  <c r="B107" i="5" s="1"/>
  <c r="B116" i="5" s="1"/>
  <c r="B125" i="5" s="1"/>
  <c r="B134" i="5" s="1"/>
  <c r="B143" i="5" s="1"/>
  <c r="B152" i="5" s="1"/>
  <c r="B161" i="5" s="1"/>
  <c r="B170" i="5" s="1"/>
  <c r="B14" i="5"/>
  <c r="B23" i="5" s="1"/>
  <c r="B32" i="5" s="1"/>
  <c r="B41" i="5" s="1"/>
  <c r="B50" i="5" s="1"/>
  <c r="B59" i="5" s="1"/>
  <c r="B68" i="5" s="1"/>
  <c r="B77" i="5" s="1"/>
  <c r="B86" i="5" s="1"/>
  <c r="B95" i="5" s="1"/>
  <c r="B104" i="5" s="1"/>
  <c r="B113" i="5" s="1"/>
  <c r="B122" i="5" s="1"/>
  <c r="B131" i="5" s="1"/>
  <c r="B140" i="5" s="1"/>
  <c r="B149" i="5" s="1"/>
  <c r="B158" i="5" s="1"/>
  <c r="B167" i="5" s="1"/>
  <c r="B176" i="5" s="1"/>
  <c r="B13" i="5"/>
  <c r="B22" i="5" s="1"/>
  <c r="B31" i="5" s="1"/>
  <c r="B40" i="5" s="1"/>
  <c r="B49" i="5" s="1"/>
  <c r="B58" i="5" s="1"/>
  <c r="B67" i="5" s="1"/>
  <c r="B76" i="5" s="1"/>
  <c r="B85" i="5" s="1"/>
  <c r="B94" i="5" s="1"/>
  <c r="B103" i="5" s="1"/>
  <c r="B112" i="5" s="1"/>
  <c r="B121" i="5" s="1"/>
  <c r="B130" i="5" s="1"/>
  <c r="B139" i="5" s="1"/>
  <c r="B148" i="5" s="1"/>
  <c r="B157" i="5" s="1"/>
  <c r="B166" i="5" s="1"/>
  <c r="B175" i="5" s="1"/>
  <c r="B9" i="5"/>
  <c r="B18" i="5" s="1"/>
  <c r="B27" i="5" s="1"/>
  <c r="B36" i="5" s="1"/>
  <c r="B45" i="5" s="1"/>
  <c r="B54" i="5" s="1"/>
  <c r="B63" i="5" s="1"/>
  <c r="B72" i="5" s="1"/>
  <c r="B81" i="5" s="1"/>
  <c r="B90" i="5" s="1"/>
  <c r="B99" i="5" s="1"/>
  <c r="B108" i="5" s="1"/>
  <c r="B117" i="5" s="1"/>
  <c r="B126" i="5" s="1"/>
  <c r="B135" i="5" s="1"/>
  <c r="B144" i="5" s="1"/>
  <c r="B153" i="5" s="1"/>
  <c r="B162" i="5" s="1"/>
  <c r="B171" i="5" s="1"/>
  <c r="B10" i="5"/>
  <c r="B19" i="5" s="1"/>
  <c r="B28" i="5" s="1"/>
  <c r="B37" i="5" s="1"/>
  <c r="B46" i="5" s="1"/>
  <c r="B55" i="5" s="1"/>
  <c r="B64" i="5" s="1"/>
  <c r="B73" i="5" s="1"/>
  <c r="B82" i="5" s="1"/>
  <c r="B91" i="5" s="1"/>
  <c r="B100" i="5" s="1"/>
  <c r="B109" i="5" s="1"/>
  <c r="B118" i="5" s="1"/>
  <c r="B127" i="5" s="1"/>
  <c r="B136" i="5" s="1"/>
  <c r="B145" i="5" s="1"/>
  <c r="B154" i="5" s="1"/>
  <c r="B163" i="5" s="1"/>
  <c r="B172" i="5" s="1"/>
  <c r="B11" i="5"/>
  <c r="B20" i="5" s="1"/>
  <c r="B29" i="5" s="1"/>
  <c r="B38" i="5" s="1"/>
  <c r="B47" i="5" s="1"/>
  <c r="B56" i="5" s="1"/>
  <c r="B65" i="5" s="1"/>
  <c r="B74" i="5" s="1"/>
  <c r="B83" i="5" s="1"/>
  <c r="B92" i="5" s="1"/>
  <c r="B101" i="5" s="1"/>
  <c r="B110" i="5" s="1"/>
  <c r="B119" i="5" s="1"/>
  <c r="B128" i="5" s="1"/>
  <c r="B137" i="5" s="1"/>
  <c r="B146" i="5" s="1"/>
  <c r="B155" i="5" s="1"/>
  <c r="B164" i="5" s="1"/>
  <c r="B173" i="5" s="1"/>
  <c r="B12" i="5"/>
  <c r="B21" i="5" s="1"/>
  <c r="B30" i="5" s="1"/>
  <c r="B39" i="5" s="1"/>
  <c r="B48" i="5" s="1"/>
  <c r="B57" i="5" s="1"/>
  <c r="B66" i="5" s="1"/>
  <c r="B75" i="5" s="1"/>
  <c r="B84" i="5" s="1"/>
  <c r="B93" i="5" s="1"/>
  <c r="B102" i="5" s="1"/>
  <c r="B111" i="5" s="1"/>
  <c r="B120" i="5" s="1"/>
  <c r="B129" i="5" s="1"/>
  <c r="B138" i="5" s="1"/>
  <c r="B147" i="5" s="1"/>
  <c r="B156" i="5" s="1"/>
  <c r="B165" i="5" s="1"/>
  <c r="B174" i="5" s="1"/>
  <c r="B7" i="5"/>
  <c r="B16" i="5" s="1"/>
  <c r="B25" i="5" s="1"/>
  <c r="B34" i="5" s="1"/>
  <c r="B43" i="5" s="1"/>
  <c r="B52" i="5" s="1"/>
  <c r="B61" i="5" s="1"/>
  <c r="B70" i="5" s="1"/>
  <c r="B79" i="5" s="1"/>
  <c r="B88" i="5" s="1"/>
  <c r="B97" i="5" s="1"/>
  <c r="B106" i="5" s="1"/>
  <c r="B115" i="5" s="1"/>
  <c r="B124" i="5" s="1"/>
  <c r="B133" i="5" s="1"/>
  <c r="B142" i="5" s="1"/>
  <c r="B151" i="5" s="1"/>
  <c r="B160" i="5" s="1"/>
  <c r="B169" i="5" s="1"/>
  <c r="E19" i="4"/>
  <c r="E18" i="4"/>
  <c r="E17" i="4"/>
  <c r="H12" i="4"/>
  <c r="E31" i="4" l="1"/>
  <c r="F37" i="4"/>
  <c r="L42" i="5"/>
  <c r="L150" i="5"/>
  <c r="L87" i="5"/>
  <c r="L78" i="5"/>
  <c r="L159" i="5"/>
  <c r="L69" i="5"/>
  <c r="L51" i="5"/>
  <c r="L123" i="5"/>
  <c r="L168" i="5"/>
  <c r="L105" i="5"/>
  <c r="L96" i="5"/>
  <c r="L15" i="5"/>
  <c r="L132" i="5"/>
  <c r="L141" i="5"/>
  <c r="L114" i="5"/>
  <c r="L60" i="5"/>
  <c r="L33" i="5"/>
  <c r="J7" i="5"/>
  <c r="L24" i="5"/>
  <c r="J8" i="5"/>
  <c r="J10" i="5"/>
  <c r="J9" i="5"/>
  <c r="J14" i="5"/>
  <c r="J13" i="5"/>
  <c r="J12" i="5"/>
  <c r="D39" i="4"/>
  <c r="C6" i="5"/>
  <c r="J11" i="5"/>
  <c r="T37" i="4" l="1"/>
  <c r="F38" i="4" s="1"/>
  <c r="J6" i="5"/>
  <c r="M6" i="5" s="1"/>
  <c r="N6" i="5" s="1"/>
  <c r="G37" i="4"/>
  <c r="D40" i="4"/>
  <c r="E6" i="5"/>
  <c r="L6" i="5"/>
  <c r="T38" i="4" l="1"/>
  <c r="F39" i="4" s="1"/>
  <c r="U37" i="4"/>
  <c r="G38" i="4" s="1"/>
  <c r="H37" i="4"/>
  <c r="D41" i="4"/>
  <c r="E15" i="5"/>
  <c r="T39" i="4" l="1"/>
  <c r="F40" i="4" s="1"/>
  <c r="I37" i="4"/>
  <c r="V37" i="4"/>
  <c r="H38" i="4" s="1"/>
  <c r="U38" i="4"/>
  <c r="D42" i="4"/>
  <c r="J37" i="4" l="1"/>
  <c r="X37" i="4" s="1"/>
  <c r="T40" i="4"/>
  <c r="F41" i="4" s="1"/>
  <c r="W37" i="4"/>
  <c r="I38" i="4" s="1"/>
  <c r="W38" i="4" s="1"/>
  <c r="V38" i="4"/>
  <c r="G39" i="4"/>
  <c r="D43" i="4"/>
  <c r="T41" i="4" l="1"/>
  <c r="F42" i="4" s="1"/>
  <c r="K37" i="4"/>
  <c r="U39" i="4"/>
  <c r="J38" i="4"/>
  <c r="H39" i="4"/>
  <c r="I39" i="4" s="1"/>
  <c r="D44" i="4"/>
  <c r="T42" i="4" l="1"/>
  <c r="F43" i="4" s="1"/>
  <c r="L37" i="4"/>
  <c r="M37" i="4" s="1"/>
  <c r="AA37" i="4" s="1"/>
  <c r="G40" i="4"/>
  <c r="X38" i="4"/>
  <c r="J39" i="4" s="1"/>
  <c r="X39" i="4" s="1"/>
  <c r="Y37" i="4"/>
  <c r="V39" i="4"/>
  <c r="W39" i="4"/>
  <c r="T43" i="4"/>
  <c r="F44" i="4" s="1"/>
  <c r="D45" i="4"/>
  <c r="Z37" i="4" l="1"/>
  <c r="N37" i="4"/>
  <c r="AB37" i="4" s="1"/>
  <c r="H40" i="4"/>
  <c r="U40" i="4"/>
  <c r="G41" i="4" s="1"/>
  <c r="K38" i="4"/>
  <c r="D46" i="4"/>
  <c r="Y38" i="4" l="1"/>
  <c r="K39" i="4" s="1"/>
  <c r="U41" i="4"/>
  <c r="O37" i="4"/>
  <c r="AC37" i="4" s="1"/>
  <c r="Y39" i="4"/>
  <c r="I40" i="4"/>
  <c r="J40" i="4" s="1"/>
  <c r="X40" i="4" s="1"/>
  <c r="V40" i="4"/>
  <c r="H41" i="4" s="1"/>
  <c r="L38" i="4"/>
  <c r="Z38" i="4" s="1"/>
  <c r="G42" i="4"/>
  <c r="T44" i="4"/>
  <c r="F45" i="4" s="1"/>
  <c r="D47" i="4"/>
  <c r="K40" i="4" l="1"/>
  <c r="Y40" i="4" s="1"/>
  <c r="W40" i="4"/>
  <c r="I41" i="4" s="1"/>
  <c r="J41" i="4" s="1"/>
  <c r="P37" i="4"/>
  <c r="V41" i="4"/>
  <c r="H42" i="4" s="1"/>
  <c r="M38" i="4"/>
  <c r="L39" i="4"/>
  <c r="U42" i="4"/>
  <c r="G43" i="4" s="1"/>
  <c r="D48" i="4"/>
  <c r="K41" i="4" l="1"/>
  <c r="Y41" i="4" s="1"/>
  <c r="AD37" i="4"/>
  <c r="Q37" i="4"/>
  <c r="AA38" i="4"/>
  <c r="W41" i="4"/>
  <c r="I42" i="4" s="1"/>
  <c r="N38" i="4"/>
  <c r="AB38" i="4" s="1"/>
  <c r="Z39" i="4"/>
  <c r="U43" i="4"/>
  <c r="G44" i="4" s="1"/>
  <c r="V42" i="4"/>
  <c r="X41" i="4"/>
  <c r="T45" i="4"/>
  <c r="F46" i="4" s="1"/>
  <c r="D49" i="4"/>
  <c r="AE37" i="4" l="1"/>
  <c r="R37" i="4"/>
  <c r="AF37" i="4" s="1"/>
  <c r="L40" i="4"/>
  <c r="W42" i="4"/>
  <c r="M39" i="4"/>
  <c r="O38" i="4"/>
  <c r="U44" i="4"/>
  <c r="G45" i="4" s="1"/>
  <c r="J42" i="4"/>
  <c r="H43" i="4"/>
  <c r="T46" i="4"/>
  <c r="F47" i="4" s="1"/>
  <c r="D50" i="4"/>
  <c r="AA39" i="4" l="1"/>
  <c r="M40" i="4" s="1"/>
  <c r="Z40" i="4"/>
  <c r="S37" i="4"/>
  <c r="AG37" i="4" s="1"/>
  <c r="L41" i="4"/>
  <c r="K42" i="4"/>
  <c r="AC38" i="4"/>
  <c r="P38" i="4"/>
  <c r="AD38" i="4" s="1"/>
  <c r="U45" i="4"/>
  <c r="G46" i="4" s="1"/>
  <c r="N39" i="4"/>
  <c r="AB39" i="4" s="1"/>
  <c r="I43" i="4"/>
  <c r="W43" i="4" s="1"/>
  <c r="X42" i="4"/>
  <c r="V43" i="4"/>
  <c r="T47" i="4"/>
  <c r="F48" i="4" s="1"/>
  <c r="D51" i="4"/>
  <c r="AA40" i="4" l="1"/>
  <c r="E37" i="4"/>
  <c r="A37" i="4" s="1"/>
  <c r="U46" i="4"/>
  <c r="G47" i="4" s="1"/>
  <c r="N40" i="4"/>
  <c r="AB40" i="4" s="1"/>
  <c r="O39" i="4"/>
  <c r="P39" i="4" s="1"/>
  <c r="AD39" i="4" s="1"/>
  <c r="Y42" i="4"/>
  <c r="M41" i="4"/>
  <c r="AA41" i="4" s="1"/>
  <c r="Z41" i="4"/>
  <c r="L42" i="4" s="1"/>
  <c r="Q38" i="4"/>
  <c r="J43" i="4"/>
  <c r="H44" i="4"/>
  <c r="T48" i="4"/>
  <c r="F49" i="4" s="1"/>
  <c r="D52" i="4"/>
  <c r="AC39" i="4" l="1"/>
  <c r="O40" i="4" s="1"/>
  <c r="K43" i="4"/>
  <c r="Y43" i="4" s="1"/>
  <c r="N41" i="4"/>
  <c r="AB41" i="4" s="1"/>
  <c r="AE38" i="4"/>
  <c r="R38" i="4"/>
  <c r="AF38" i="4" s="1"/>
  <c r="M42" i="4"/>
  <c r="AA42" i="4" s="1"/>
  <c r="Z42" i="4"/>
  <c r="X43" i="4"/>
  <c r="I44" i="4"/>
  <c r="W44" i="4" s="1"/>
  <c r="V44" i="4"/>
  <c r="T49" i="4"/>
  <c r="F50" i="4" s="1"/>
  <c r="U47" i="4"/>
  <c r="G48" i="4" s="1"/>
  <c r="D53" i="4"/>
  <c r="L43" i="4" l="1"/>
  <c r="Z43" i="4" s="1"/>
  <c r="AC40" i="4"/>
  <c r="P40" i="4"/>
  <c r="AD40" i="4" s="1"/>
  <c r="Q39" i="4"/>
  <c r="M43" i="4"/>
  <c r="N42" i="4"/>
  <c r="O41" i="4"/>
  <c r="S38" i="4"/>
  <c r="AG38" i="4" s="1"/>
  <c r="J44" i="4"/>
  <c r="H45" i="4"/>
  <c r="T50" i="4"/>
  <c r="F51" i="4" s="1"/>
  <c r="U48" i="4"/>
  <c r="G49" i="4" s="1"/>
  <c r="D55" i="4"/>
  <c r="D54" i="4"/>
  <c r="E38" i="4" l="1"/>
  <c r="A38" i="4" s="1"/>
  <c r="D15" i="5"/>
  <c r="K44" i="4"/>
  <c r="Y44" i="4" s="1"/>
  <c r="AE39" i="4"/>
  <c r="Q40" i="4"/>
  <c r="AE40" i="4" s="1"/>
  <c r="AC41" i="4"/>
  <c r="P41" i="4"/>
  <c r="AD41" i="4" s="1"/>
  <c r="R39" i="4"/>
  <c r="AF39" i="4" s="1"/>
  <c r="AB42" i="4"/>
  <c r="N43" i="4" s="1"/>
  <c r="O42" i="4"/>
  <c r="L44" i="4"/>
  <c r="AA43" i="4"/>
  <c r="D56" i="4"/>
  <c r="I45" i="4"/>
  <c r="W45" i="4" s="1"/>
  <c r="X44" i="4"/>
  <c r="V45" i="4"/>
  <c r="U49" i="4"/>
  <c r="G50" i="4" s="1"/>
  <c r="C23" i="5" l="1"/>
  <c r="C16" i="5"/>
  <c r="C21" i="5"/>
  <c r="C22" i="5"/>
  <c r="C18" i="5"/>
  <c r="C19" i="5"/>
  <c r="C20" i="5"/>
  <c r="C17" i="5"/>
  <c r="AC42" i="4"/>
  <c r="R40" i="4"/>
  <c r="AF40" i="4" s="1"/>
  <c r="Q41" i="4"/>
  <c r="AE41" i="4" s="1"/>
  <c r="AB43" i="4"/>
  <c r="O43" i="4"/>
  <c r="M44" i="4"/>
  <c r="AA44" i="4" s="1"/>
  <c r="Z44" i="4"/>
  <c r="P42" i="4"/>
  <c r="S39" i="4"/>
  <c r="J45" i="4"/>
  <c r="H46" i="4"/>
  <c r="U50" i="4"/>
  <c r="G51" i="4" s="1"/>
  <c r="T51" i="4"/>
  <c r="F52" i="4" s="1"/>
  <c r="J18" i="5" l="1"/>
  <c r="J23" i="5"/>
  <c r="J19" i="5"/>
  <c r="J16" i="5"/>
  <c r="J15" i="5" s="1"/>
  <c r="C15" i="5"/>
  <c r="J17" i="5"/>
  <c r="J22" i="5"/>
  <c r="AG39" i="4"/>
  <c r="S40" i="4" s="1"/>
  <c r="AG40" i="4" s="1"/>
  <c r="E39" i="4"/>
  <c r="J20" i="5"/>
  <c r="J21" i="5"/>
  <c r="Q42" i="4"/>
  <c r="AE42" i="4" s="1"/>
  <c r="R41" i="4"/>
  <c r="K45" i="4"/>
  <c r="AD42" i="4"/>
  <c r="P43" i="4" s="1"/>
  <c r="AC43" i="4"/>
  <c r="N44" i="4"/>
  <c r="X45" i="4"/>
  <c r="I46" i="4"/>
  <c r="W46" i="4" s="1"/>
  <c r="V46" i="4"/>
  <c r="H47" i="4" s="1"/>
  <c r="U51" i="4"/>
  <c r="G52" i="4" s="1"/>
  <c r="K15" i="5" l="1"/>
  <c r="M15" i="5"/>
  <c r="N15" i="5" s="1"/>
  <c r="Y45" i="4"/>
  <c r="D24" i="5"/>
  <c r="A39" i="4"/>
  <c r="AF41" i="4"/>
  <c r="E40" i="4"/>
  <c r="R42" i="4"/>
  <c r="AF42" i="4" s="1"/>
  <c r="S41" i="4"/>
  <c r="AG41" i="4" s="1"/>
  <c r="O44" i="4"/>
  <c r="AD43" i="4"/>
  <c r="Q43" i="4"/>
  <c r="AE43" i="4" s="1"/>
  <c r="L45" i="4"/>
  <c r="AB44" i="4"/>
  <c r="J46" i="4"/>
  <c r="K46" i="4" s="1"/>
  <c r="Y46" i="4" s="1"/>
  <c r="I47" i="4"/>
  <c r="W47" i="4" s="1"/>
  <c r="V47" i="4"/>
  <c r="T52" i="4"/>
  <c r="F53" i="4" s="1"/>
  <c r="C27" i="5" l="1"/>
  <c r="C28" i="5"/>
  <c r="C30" i="5"/>
  <c r="C32" i="5"/>
  <c r="C25" i="5"/>
  <c r="C26" i="5"/>
  <c r="C29" i="5"/>
  <c r="C31" i="5"/>
  <c r="A40" i="4"/>
  <c r="D33" i="5"/>
  <c r="E41" i="4"/>
  <c r="R43" i="4"/>
  <c r="AF43" i="4" s="1"/>
  <c r="S42" i="4"/>
  <c r="AG42" i="4" s="1"/>
  <c r="P44" i="4"/>
  <c r="AD44" i="4" s="1"/>
  <c r="AC44" i="4"/>
  <c r="Z45" i="4"/>
  <c r="L46" i="4" s="1"/>
  <c r="M45" i="4"/>
  <c r="N45" i="4" s="1"/>
  <c r="X46" i="4"/>
  <c r="J47" i="4" s="1"/>
  <c r="H48" i="4"/>
  <c r="U52" i="4"/>
  <c r="G53" i="4" s="1"/>
  <c r="A41" i="4" l="1"/>
  <c r="D42" i="5"/>
  <c r="J29" i="5"/>
  <c r="J30" i="5"/>
  <c r="F35" i="5"/>
  <c r="F44" i="5"/>
  <c r="J26" i="5"/>
  <c r="J28" i="5"/>
  <c r="E42" i="4"/>
  <c r="F34" i="5"/>
  <c r="C24" i="5"/>
  <c r="J25" i="5"/>
  <c r="J27" i="5"/>
  <c r="C34" i="5"/>
  <c r="C35" i="5"/>
  <c r="J35" i="5" s="1"/>
  <c r="C38" i="5"/>
  <c r="F56" i="5" s="1"/>
  <c r="C39" i="5"/>
  <c r="F57" i="5" s="1"/>
  <c r="C41" i="5"/>
  <c r="C40" i="5"/>
  <c r="C37" i="5"/>
  <c r="C36" i="5"/>
  <c r="J36" i="5" s="1"/>
  <c r="F58" i="5"/>
  <c r="J40" i="5"/>
  <c r="J31" i="5"/>
  <c r="J32" i="5"/>
  <c r="S43" i="4"/>
  <c r="AG43" i="4" s="1"/>
  <c r="Q44" i="4"/>
  <c r="AE44" i="4" s="1"/>
  <c r="AB45" i="4"/>
  <c r="Z46" i="4"/>
  <c r="K47" i="4"/>
  <c r="Y47" i="4" s="1"/>
  <c r="AA45" i="4"/>
  <c r="M46" i="4" s="1"/>
  <c r="O45" i="4"/>
  <c r="AC45" i="4" s="1"/>
  <c r="I48" i="4"/>
  <c r="W48" i="4" s="1"/>
  <c r="X47" i="4"/>
  <c r="V48" i="4"/>
  <c r="T53" i="4"/>
  <c r="F54" i="4" s="1"/>
  <c r="U53" i="4"/>
  <c r="F53" i="5" l="1"/>
  <c r="J34" i="5"/>
  <c r="F52" i="5"/>
  <c r="C33" i="5"/>
  <c r="D51" i="5"/>
  <c r="A42" i="4"/>
  <c r="F55" i="5"/>
  <c r="J48" i="5"/>
  <c r="J38" i="5"/>
  <c r="G33" i="5"/>
  <c r="F33" i="5"/>
  <c r="G42" i="5"/>
  <c r="H42" i="5" s="1"/>
  <c r="I42" i="5" s="1"/>
  <c r="F42" i="5"/>
  <c r="J41" i="5"/>
  <c r="J24" i="5"/>
  <c r="E43" i="4"/>
  <c r="J37" i="5"/>
  <c r="J39" i="5"/>
  <c r="C47" i="5"/>
  <c r="C46" i="5"/>
  <c r="C48" i="5"/>
  <c r="C45" i="5"/>
  <c r="C50" i="5"/>
  <c r="C43" i="5"/>
  <c r="J43" i="5" s="1"/>
  <c r="C44" i="5"/>
  <c r="C49" i="5"/>
  <c r="R44" i="4"/>
  <c r="AF44" i="4" s="1"/>
  <c r="P45" i="4"/>
  <c r="AA46" i="4"/>
  <c r="N46" i="4"/>
  <c r="AB46" i="4" s="1"/>
  <c r="L47" i="4"/>
  <c r="Z47" i="4" s="1"/>
  <c r="J48" i="4"/>
  <c r="H49" i="4"/>
  <c r="G54" i="4"/>
  <c r="F65" i="5" l="1"/>
  <c r="C53" i="5"/>
  <c r="C55" i="5"/>
  <c r="C54" i="5"/>
  <c r="J54" i="5" s="1"/>
  <c r="C58" i="5"/>
  <c r="F76" i="5" s="1"/>
  <c r="C52" i="5"/>
  <c r="C57" i="5"/>
  <c r="C59" i="5"/>
  <c r="J59" i="5" s="1"/>
  <c r="C56" i="5"/>
  <c r="F74" i="5" s="1"/>
  <c r="J50" i="5"/>
  <c r="F67" i="5"/>
  <c r="J49" i="5"/>
  <c r="J58" i="5"/>
  <c r="J45" i="5"/>
  <c r="J33" i="5"/>
  <c r="K33" i="5" s="1"/>
  <c r="F66" i="5"/>
  <c r="F62" i="5"/>
  <c r="K24" i="5"/>
  <c r="M24" i="5"/>
  <c r="J47" i="5"/>
  <c r="J56" i="5"/>
  <c r="H33" i="5"/>
  <c r="I33" i="5" s="1"/>
  <c r="M33" i="5"/>
  <c r="G51" i="5"/>
  <c r="H51" i="5" s="1"/>
  <c r="I51" i="5" s="1"/>
  <c r="F51" i="5"/>
  <c r="D60" i="5"/>
  <c r="A43" i="4"/>
  <c r="AD45" i="4"/>
  <c r="F61" i="5"/>
  <c r="C42" i="5"/>
  <c r="J46" i="5"/>
  <c r="F64" i="5"/>
  <c r="J55" i="5"/>
  <c r="J44" i="5"/>
  <c r="Q45" i="4"/>
  <c r="R45" i="4" s="1"/>
  <c r="S44" i="4"/>
  <c r="AG44" i="4" s="1"/>
  <c r="M47" i="4"/>
  <c r="AA47" i="4" s="1"/>
  <c r="K48" i="4"/>
  <c r="L48" i="4" s="1"/>
  <c r="Z48" i="4" s="1"/>
  <c r="AE45" i="4"/>
  <c r="O46" i="4"/>
  <c r="X48" i="4"/>
  <c r="I49" i="4"/>
  <c r="W49" i="4" s="1"/>
  <c r="V49" i="4"/>
  <c r="U54" i="4"/>
  <c r="T54" i="4"/>
  <c r="F72" i="5" l="1"/>
  <c r="E44" i="4"/>
  <c r="J42" i="5"/>
  <c r="M42" i="5" s="1"/>
  <c r="K42" i="5"/>
  <c r="G60" i="5"/>
  <c r="H60" i="5" s="1"/>
  <c r="I60" i="5" s="1"/>
  <c r="F60" i="5"/>
  <c r="F70" i="5"/>
  <c r="C51" i="5"/>
  <c r="J52" i="5"/>
  <c r="J53" i="5"/>
  <c r="F71" i="5"/>
  <c r="F80" i="5"/>
  <c r="C64" i="5"/>
  <c r="C61" i="5"/>
  <c r="C67" i="5"/>
  <c r="C66" i="5"/>
  <c r="C65" i="5"/>
  <c r="C63" i="5"/>
  <c r="C62" i="5"/>
  <c r="C68" i="5"/>
  <c r="A44" i="4"/>
  <c r="D69" i="5"/>
  <c r="N24" i="5"/>
  <c r="F75" i="5"/>
  <c r="J57" i="5"/>
  <c r="F73" i="5"/>
  <c r="J64" i="5"/>
  <c r="N47" i="4"/>
  <c r="AB47" i="4" s="1"/>
  <c r="AF45" i="4"/>
  <c r="S45" i="4"/>
  <c r="AG45" i="4" s="1"/>
  <c r="AC46" i="4"/>
  <c r="P46" i="4"/>
  <c r="Y48" i="4"/>
  <c r="M48" i="4"/>
  <c r="AA48" i="4" s="1"/>
  <c r="J49" i="4"/>
  <c r="K49" i="4" s="1"/>
  <c r="Y49" i="4" s="1"/>
  <c r="F55" i="4"/>
  <c r="H50" i="4"/>
  <c r="N42" i="5" l="1"/>
  <c r="E45" i="4"/>
  <c r="C72" i="5"/>
  <c r="J72" i="5" s="1"/>
  <c r="C73" i="5"/>
  <c r="C74" i="5"/>
  <c r="F92" i="5" s="1"/>
  <c r="C71" i="5"/>
  <c r="C75" i="5"/>
  <c r="F93" i="5" s="1"/>
  <c r="C76" i="5"/>
  <c r="F94" i="5" s="1"/>
  <c r="C70" i="5"/>
  <c r="C77" i="5"/>
  <c r="J68" i="5"/>
  <c r="J77" i="5"/>
  <c r="F84" i="5"/>
  <c r="J66" i="5"/>
  <c r="F89" i="5"/>
  <c r="F85" i="5"/>
  <c r="J67" i="5"/>
  <c r="A45" i="4"/>
  <c r="D78" i="5"/>
  <c r="F81" i="5"/>
  <c r="J63" i="5"/>
  <c r="F79" i="5"/>
  <c r="C60" i="5"/>
  <c r="J51" i="5"/>
  <c r="G69" i="5"/>
  <c r="H69" i="5" s="1"/>
  <c r="I69" i="5" s="1"/>
  <c r="F69" i="5"/>
  <c r="J74" i="5"/>
  <c r="F83" i="5"/>
  <c r="J65" i="5"/>
  <c r="F82" i="5"/>
  <c r="J62" i="5"/>
  <c r="J61" i="5"/>
  <c r="O47" i="4"/>
  <c r="AC47" i="4" s="1"/>
  <c r="N48" i="4"/>
  <c r="AB48" i="4" s="1"/>
  <c r="AD46" i="4"/>
  <c r="Q46" i="4"/>
  <c r="AE46" i="4" s="1"/>
  <c r="L49" i="4"/>
  <c r="X49" i="4"/>
  <c r="I50" i="4"/>
  <c r="W50" i="4" s="1"/>
  <c r="T55" i="4"/>
  <c r="V50" i="4"/>
  <c r="H51" i="4" s="1"/>
  <c r="G55" i="4"/>
  <c r="U55" i="4" s="1"/>
  <c r="J76" i="5" l="1"/>
  <c r="F78" i="5"/>
  <c r="G78" i="5"/>
  <c r="H78" i="5" s="1"/>
  <c r="I78" i="5" s="1"/>
  <c r="K51" i="5"/>
  <c r="M51" i="5"/>
  <c r="C80" i="5"/>
  <c r="C83" i="5"/>
  <c r="C84" i="5"/>
  <c r="C81" i="5"/>
  <c r="F99" i="5" s="1"/>
  <c r="C85" i="5"/>
  <c r="C79" i="5"/>
  <c r="C82" i="5"/>
  <c r="C86" i="5"/>
  <c r="J71" i="5"/>
  <c r="F98" i="5"/>
  <c r="J75" i="5"/>
  <c r="F88" i="5"/>
  <c r="C69" i="5"/>
  <c r="J70" i="5"/>
  <c r="J79" i="5"/>
  <c r="J60" i="5"/>
  <c r="F90" i="5"/>
  <c r="F91" i="5"/>
  <c r="J73" i="5"/>
  <c r="O48" i="4"/>
  <c r="P47" i="4"/>
  <c r="Q47" i="4" s="1"/>
  <c r="AE47" i="4" s="1"/>
  <c r="R46" i="4"/>
  <c r="AF46" i="4" s="1"/>
  <c r="Z49" i="4"/>
  <c r="AC48" i="4"/>
  <c r="M49" i="4"/>
  <c r="N49" i="4" s="1"/>
  <c r="AB49" i="4" s="1"/>
  <c r="J50" i="4"/>
  <c r="I51" i="4"/>
  <c r="W51" i="4" s="1"/>
  <c r="V51" i="4"/>
  <c r="N51" i="5" l="1"/>
  <c r="J81" i="5"/>
  <c r="F102" i="5"/>
  <c r="J84" i="5"/>
  <c r="G87" i="5"/>
  <c r="H87" i="5" s="1"/>
  <c r="F87" i="5"/>
  <c r="F97" i="5"/>
  <c r="C78" i="5"/>
  <c r="J83" i="5"/>
  <c r="F101" i="5"/>
  <c r="F100" i="5"/>
  <c r="J82" i="5"/>
  <c r="F103" i="5"/>
  <c r="J85" i="5"/>
  <c r="J80" i="5"/>
  <c r="K60" i="5"/>
  <c r="M60" i="5"/>
  <c r="J69" i="5"/>
  <c r="J86" i="5"/>
  <c r="AD47" i="4"/>
  <c r="P48" i="4" s="1"/>
  <c r="AD48" i="4" s="1"/>
  <c r="S46" i="4"/>
  <c r="AG46" i="4" s="1"/>
  <c r="R47" i="4"/>
  <c r="AF47" i="4" s="1"/>
  <c r="O49" i="4"/>
  <c r="AC49" i="4" s="1"/>
  <c r="K50" i="4"/>
  <c r="AA49" i="4"/>
  <c r="X50" i="4"/>
  <c r="J51" i="4" s="1"/>
  <c r="H52" i="4"/>
  <c r="J78" i="5" l="1"/>
  <c r="K78" i="5"/>
  <c r="M78" i="5"/>
  <c r="F96" i="5"/>
  <c r="G96" i="5"/>
  <c r="E46" i="4"/>
  <c r="Q48" i="4"/>
  <c r="AE48" i="4" s="1"/>
  <c r="K69" i="5"/>
  <c r="M69" i="5"/>
  <c r="N60" i="5"/>
  <c r="S47" i="4"/>
  <c r="AG47" i="4" s="1"/>
  <c r="P49" i="4"/>
  <c r="AD49" i="4" s="1"/>
  <c r="Y50" i="4"/>
  <c r="K51" i="4" s="1"/>
  <c r="L50" i="4"/>
  <c r="X51" i="4"/>
  <c r="I52" i="4"/>
  <c r="W52" i="4" s="1"/>
  <c r="V52" i="4"/>
  <c r="H53" i="4" s="1"/>
  <c r="N69" i="5" l="1"/>
  <c r="R48" i="4"/>
  <c r="AF48" i="4" s="1"/>
  <c r="E47" i="4"/>
  <c r="H96" i="5"/>
  <c r="A46" i="4"/>
  <c r="D87" i="5"/>
  <c r="N78" i="5"/>
  <c r="Q49" i="4"/>
  <c r="AE49" i="4" s="1"/>
  <c r="Y51" i="4"/>
  <c r="Z50" i="4"/>
  <c r="L51" i="4" s="1"/>
  <c r="M50" i="4"/>
  <c r="N50" i="4" s="1"/>
  <c r="AB50" i="4" s="1"/>
  <c r="J52" i="4"/>
  <c r="I53" i="4"/>
  <c r="W53" i="4" s="1"/>
  <c r="V53" i="4"/>
  <c r="C90" i="5" l="1"/>
  <c r="C95" i="5"/>
  <c r="C91" i="5"/>
  <c r="C94" i="5"/>
  <c r="C93" i="5"/>
  <c r="C92" i="5"/>
  <c r="C89" i="5"/>
  <c r="C88" i="5"/>
  <c r="I87" i="5"/>
  <c r="S48" i="4"/>
  <c r="AG48" i="4" s="1"/>
  <c r="D96" i="5"/>
  <c r="I96" i="5" s="1"/>
  <c r="A47" i="4"/>
  <c r="R49" i="4"/>
  <c r="AF49" i="4" s="1"/>
  <c r="Z51" i="4"/>
  <c r="AA50" i="4"/>
  <c r="M51" i="4" s="1"/>
  <c r="X52" i="4"/>
  <c r="J53" i="4" s="1"/>
  <c r="O50" i="4"/>
  <c r="K52" i="4"/>
  <c r="L52" i="4" s="1"/>
  <c r="H54" i="4"/>
  <c r="J92" i="5" l="1"/>
  <c r="F110" i="5"/>
  <c r="F113" i="5"/>
  <c r="J95" i="5"/>
  <c r="F107" i="5"/>
  <c r="J89" i="5"/>
  <c r="F109" i="5"/>
  <c r="J91" i="5"/>
  <c r="C99" i="5"/>
  <c r="C103" i="5"/>
  <c r="C97" i="5"/>
  <c r="C102" i="5"/>
  <c r="C101" i="5"/>
  <c r="C104" i="5"/>
  <c r="C98" i="5"/>
  <c r="C100" i="5"/>
  <c r="F118" i="5" s="1"/>
  <c r="E48" i="4"/>
  <c r="F111" i="5"/>
  <c r="J93" i="5"/>
  <c r="J102" i="5"/>
  <c r="F117" i="5"/>
  <c r="J99" i="5"/>
  <c r="F108" i="5"/>
  <c r="J90" i="5"/>
  <c r="F106" i="5"/>
  <c r="C87" i="5"/>
  <c r="J88" i="5"/>
  <c r="F121" i="5"/>
  <c r="J103" i="5"/>
  <c r="J94" i="5"/>
  <c r="F112" i="5"/>
  <c r="S49" i="4"/>
  <c r="AG49" i="4" s="1"/>
  <c r="Z52" i="4"/>
  <c r="AA51" i="4"/>
  <c r="M52" i="4" s="1"/>
  <c r="AA52" i="4" s="1"/>
  <c r="N51" i="4"/>
  <c r="AB51" i="4" s="1"/>
  <c r="AC50" i="4"/>
  <c r="P50" i="4"/>
  <c r="Q50" i="4" s="1"/>
  <c r="AE50" i="4" s="1"/>
  <c r="Y52" i="4"/>
  <c r="K53" i="4" s="1"/>
  <c r="Y53" i="4" s="1"/>
  <c r="I54" i="4"/>
  <c r="W54" i="4" s="1"/>
  <c r="V54" i="4"/>
  <c r="H55" i="4" s="1"/>
  <c r="X53" i="4"/>
  <c r="J100" i="5" l="1"/>
  <c r="F116" i="5"/>
  <c r="J97" i="5"/>
  <c r="C96" i="5"/>
  <c r="F115" i="5"/>
  <c r="J98" i="5"/>
  <c r="G105" i="5"/>
  <c r="F105" i="5"/>
  <c r="J104" i="5"/>
  <c r="J87" i="5"/>
  <c r="E49" i="4"/>
  <c r="D105" i="5"/>
  <c r="A48" i="4"/>
  <c r="J101" i="5"/>
  <c r="F119" i="5"/>
  <c r="F120" i="5"/>
  <c r="F122" i="5"/>
  <c r="AD50" i="4"/>
  <c r="R50" i="4"/>
  <c r="AF50" i="4" s="1"/>
  <c r="N52" i="4"/>
  <c r="L53" i="4"/>
  <c r="M53" i="4" s="1"/>
  <c r="AA53" i="4" s="1"/>
  <c r="O51" i="4"/>
  <c r="V55" i="4"/>
  <c r="I55" i="4"/>
  <c r="W55" i="4" s="1"/>
  <c r="J54" i="4"/>
  <c r="H105" i="5" l="1"/>
  <c r="I105" i="5" s="1"/>
  <c r="J96" i="5"/>
  <c r="K87" i="5"/>
  <c r="M87" i="5"/>
  <c r="C106" i="5"/>
  <c r="C107" i="5"/>
  <c r="C112" i="5"/>
  <c r="C108" i="5"/>
  <c r="C109" i="5"/>
  <c r="C110" i="5"/>
  <c r="C113" i="5"/>
  <c r="C111" i="5"/>
  <c r="G114" i="5"/>
  <c r="H114" i="5" s="1"/>
  <c r="F114" i="5"/>
  <c r="D114" i="5"/>
  <c r="A49" i="4"/>
  <c r="S50" i="4"/>
  <c r="AG50" i="4" s="1"/>
  <c r="AB52" i="4"/>
  <c r="N53" i="4" s="1"/>
  <c r="AB53" i="4" s="1"/>
  <c r="Z53" i="4"/>
  <c r="K54" i="4"/>
  <c r="AC51" i="4"/>
  <c r="O52" i="4" s="1"/>
  <c r="P51" i="4"/>
  <c r="X54" i="4"/>
  <c r="J113" i="5" l="1"/>
  <c r="F131" i="5"/>
  <c r="J112" i="5"/>
  <c r="F130" i="5"/>
  <c r="K96" i="5"/>
  <c r="M96" i="5"/>
  <c r="I114" i="5"/>
  <c r="C117" i="5"/>
  <c r="F135" i="5" s="1"/>
  <c r="C122" i="5"/>
  <c r="F140" i="5" s="1"/>
  <c r="C121" i="5"/>
  <c r="J121" i="5" s="1"/>
  <c r="C119" i="5"/>
  <c r="C115" i="5"/>
  <c r="J115" i="5" s="1"/>
  <c r="C116" i="5"/>
  <c r="F134" i="5" s="1"/>
  <c r="C118" i="5"/>
  <c r="F136" i="5" s="1"/>
  <c r="C120" i="5"/>
  <c r="F138" i="5" s="1"/>
  <c r="J110" i="5"/>
  <c r="F128" i="5"/>
  <c r="J107" i="5"/>
  <c r="F125" i="5"/>
  <c r="N87" i="5"/>
  <c r="AD51" i="4"/>
  <c r="F127" i="5"/>
  <c r="J109" i="5"/>
  <c r="J118" i="5"/>
  <c r="F124" i="5"/>
  <c r="C105" i="5"/>
  <c r="J106" i="5"/>
  <c r="F129" i="5"/>
  <c r="J111" i="5"/>
  <c r="F126" i="5"/>
  <c r="J108" i="5"/>
  <c r="J117" i="5"/>
  <c r="E50" i="4"/>
  <c r="AC52" i="4"/>
  <c r="O53" i="4" s="1"/>
  <c r="P52" i="4"/>
  <c r="AD52" i="4" s="1"/>
  <c r="Y54" i="4"/>
  <c r="L54" i="4"/>
  <c r="Q51" i="4"/>
  <c r="J55" i="4"/>
  <c r="N96" i="5" l="1"/>
  <c r="J105" i="5"/>
  <c r="F137" i="5"/>
  <c r="J122" i="5"/>
  <c r="A50" i="4"/>
  <c r="D123" i="5"/>
  <c r="J120" i="5"/>
  <c r="F139" i="5"/>
  <c r="G123" i="5"/>
  <c r="F123" i="5"/>
  <c r="J116" i="5"/>
  <c r="J119" i="5"/>
  <c r="J114" i="5" s="1"/>
  <c r="C114" i="5"/>
  <c r="F133" i="5"/>
  <c r="M54" i="4"/>
  <c r="AA54" i="4" s="1"/>
  <c r="AE51" i="4"/>
  <c r="Q52" i="4" s="1"/>
  <c r="R51" i="4"/>
  <c r="AF51" i="4" s="1"/>
  <c r="Z54" i="4"/>
  <c r="AC53" i="4"/>
  <c r="P53" i="4"/>
  <c r="AD53" i="4" s="1"/>
  <c r="K55" i="4"/>
  <c r="Y55" i="4" s="1"/>
  <c r="X55" i="4"/>
  <c r="K114" i="5" l="1"/>
  <c r="M114" i="5"/>
  <c r="N114" i="5" s="1"/>
  <c r="C128" i="5"/>
  <c r="C124" i="5"/>
  <c r="C125" i="5"/>
  <c r="C126" i="5"/>
  <c r="C131" i="5"/>
  <c r="C127" i="5"/>
  <c r="C130" i="5"/>
  <c r="C129" i="5"/>
  <c r="G132" i="5"/>
  <c r="H132" i="5" s="1"/>
  <c r="F132" i="5"/>
  <c r="K105" i="5"/>
  <c r="M105" i="5"/>
  <c r="H123" i="5"/>
  <c r="I123" i="5" s="1"/>
  <c r="S51" i="4"/>
  <c r="AG51" i="4" s="1"/>
  <c r="L55" i="4"/>
  <c r="M55" i="4" s="1"/>
  <c r="AA55" i="4" s="1"/>
  <c r="N54" i="4"/>
  <c r="AB54" i="4" s="1"/>
  <c r="AE52" i="4"/>
  <c r="Q53" i="4" s="1"/>
  <c r="R52" i="4"/>
  <c r="AF52" i="4" s="1"/>
  <c r="J130" i="5" l="1"/>
  <c r="F148" i="5"/>
  <c r="J125" i="5"/>
  <c r="F143" i="5"/>
  <c r="F149" i="5"/>
  <c r="J131" i="5"/>
  <c r="F146" i="5"/>
  <c r="J128" i="5"/>
  <c r="F147" i="5"/>
  <c r="J129" i="5"/>
  <c r="F144" i="5"/>
  <c r="J126" i="5"/>
  <c r="E51" i="4"/>
  <c r="N105" i="5"/>
  <c r="F145" i="5"/>
  <c r="J127" i="5"/>
  <c r="C123" i="5"/>
  <c r="F142" i="5"/>
  <c r="J124" i="5"/>
  <c r="E52" i="4"/>
  <c r="Z55" i="4"/>
  <c r="N55" i="4"/>
  <c r="AB55" i="4" s="1"/>
  <c r="O54" i="4"/>
  <c r="AE53" i="4"/>
  <c r="R53" i="4"/>
  <c r="AF53" i="4" s="1"/>
  <c r="S52" i="4"/>
  <c r="AG52" i="4" s="1"/>
  <c r="G141" i="5" l="1"/>
  <c r="F141" i="5"/>
  <c r="A52" i="4"/>
  <c r="D141" i="5"/>
  <c r="D132" i="5"/>
  <c r="A51" i="4"/>
  <c r="J123" i="5"/>
  <c r="P54" i="4"/>
  <c r="AC54" i="4"/>
  <c r="O55" i="4" s="1"/>
  <c r="S53" i="4"/>
  <c r="AG53" i="4" s="1"/>
  <c r="C134" i="5" l="1"/>
  <c r="C139" i="5"/>
  <c r="C137" i="5"/>
  <c r="C135" i="5"/>
  <c r="C136" i="5"/>
  <c r="C138" i="5"/>
  <c r="C133" i="5"/>
  <c r="C140" i="5"/>
  <c r="I132" i="5"/>
  <c r="E53" i="4"/>
  <c r="C145" i="5"/>
  <c r="F163" i="5" s="1"/>
  <c r="C147" i="5"/>
  <c r="F165" i="5" s="1"/>
  <c r="C148" i="5"/>
  <c r="C143" i="5"/>
  <c r="C149" i="5"/>
  <c r="C146" i="5"/>
  <c r="C142" i="5"/>
  <c r="C144" i="5"/>
  <c r="H141" i="5"/>
  <c r="I141" i="5" s="1"/>
  <c r="K123" i="5"/>
  <c r="M123" i="5"/>
  <c r="AC55" i="4"/>
  <c r="AD54" i="4"/>
  <c r="P55" i="4" s="1"/>
  <c r="Q54" i="4"/>
  <c r="A53" i="4" l="1"/>
  <c r="D150" i="5"/>
  <c r="F156" i="5"/>
  <c r="J147" i="5"/>
  <c r="J138" i="5"/>
  <c r="F157" i="5"/>
  <c r="F166" i="5"/>
  <c r="J139" i="5"/>
  <c r="J148" i="5"/>
  <c r="F154" i="5"/>
  <c r="J145" i="5"/>
  <c r="J136" i="5"/>
  <c r="F158" i="5"/>
  <c r="J140" i="5"/>
  <c r="F167" i="5"/>
  <c r="J149" i="5"/>
  <c r="J144" i="5"/>
  <c r="F153" i="5"/>
  <c r="J135" i="5"/>
  <c r="F162" i="5"/>
  <c r="C141" i="5"/>
  <c r="F160" i="5"/>
  <c r="F152" i="5"/>
  <c r="F161" i="5"/>
  <c r="J134" i="5"/>
  <c r="J143" i="5"/>
  <c r="N123" i="5"/>
  <c r="F151" i="5"/>
  <c r="C132" i="5"/>
  <c r="J142" i="5"/>
  <c r="J133" i="5"/>
  <c r="F155" i="5"/>
  <c r="F164" i="5"/>
  <c r="J137" i="5"/>
  <c r="J146" i="5"/>
  <c r="AD55" i="4"/>
  <c r="AE54" i="4"/>
  <c r="Q55" i="4" s="1"/>
  <c r="R54" i="4"/>
  <c r="J141" i="5" l="1"/>
  <c r="G150" i="5"/>
  <c r="F150" i="5"/>
  <c r="C152" i="5"/>
  <c r="C158" i="5"/>
  <c r="C153" i="5"/>
  <c r="C155" i="5"/>
  <c r="C157" i="5"/>
  <c r="C151" i="5"/>
  <c r="C154" i="5"/>
  <c r="C156" i="5"/>
  <c r="K141" i="5"/>
  <c r="M141" i="5"/>
  <c r="F159" i="5"/>
  <c r="G159" i="5"/>
  <c r="H159" i="5" s="1"/>
  <c r="J132" i="5"/>
  <c r="AE55" i="4"/>
  <c r="AF54" i="4"/>
  <c r="R55" i="4" s="1"/>
  <c r="AF55" i="4" s="1"/>
  <c r="S54" i="4"/>
  <c r="AG54" i="4" s="1"/>
  <c r="N141" i="5" l="1"/>
  <c r="F174" i="5"/>
  <c r="J156" i="5"/>
  <c r="J155" i="5"/>
  <c r="F173" i="5"/>
  <c r="F172" i="5"/>
  <c r="J154" i="5"/>
  <c r="J153" i="5"/>
  <c r="F171" i="5"/>
  <c r="H150" i="5"/>
  <c r="I150" i="5" s="1"/>
  <c r="F169" i="5"/>
  <c r="C150" i="5"/>
  <c r="J151" i="5"/>
  <c r="F176" i="5"/>
  <c r="J158" i="5"/>
  <c r="K132" i="5"/>
  <c r="M132" i="5"/>
  <c r="F175" i="5"/>
  <c r="J157" i="5"/>
  <c r="J152" i="5"/>
  <c r="F170" i="5"/>
  <c r="E54" i="4"/>
  <c r="S55" i="4"/>
  <c r="AG55" i="4" s="1"/>
  <c r="AG56" i="4" s="1"/>
  <c r="N132" i="5" l="1"/>
  <c r="G168" i="5"/>
  <c r="H168" i="5" s="1"/>
  <c r="F168" i="5"/>
  <c r="D159" i="5"/>
  <c r="A54" i="4"/>
  <c r="E55" i="4"/>
  <c r="A55" i="4" s="1"/>
  <c r="A56" i="4" s="1"/>
  <c r="J150" i="5"/>
  <c r="K150" i="5" l="1"/>
  <c r="M150" i="5"/>
  <c r="N150" i="5" s="1"/>
  <c r="D168" i="5"/>
  <c r="C175" i="5" s="1"/>
  <c r="C161" i="5"/>
  <c r="J161" i="5" s="1"/>
  <c r="C167" i="5"/>
  <c r="J167" i="5" s="1"/>
  <c r="C160" i="5"/>
  <c r="C164" i="5"/>
  <c r="J164" i="5" s="1"/>
  <c r="C162" i="5"/>
  <c r="J162" i="5" s="1"/>
  <c r="C163" i="5"/>
  <c r="J163" i="5" s="1"/>
  <c r="C165" i="5"/>
  <c r="J165" i="5" s="1"/>
  <c r="C166" i="5"/>
  <c r="J166" i="5" s="1"/>
  <c r="I159" i="5"/>
  <c r="C176" i="5"/>
  <c r="J176" i="5" s="1"/>
  <c r="C173" i="5"/>
  <c r="J173" i="5" s="1"/>
  <c r="C174" i="5"/>
  <c r="J174" i="5" s="1"/>
  <c r="C169" i="5"/>
  <c r="J175" i="5" l="1"/>
  <c r="C171" i="5"/>
  <c r="J171" i="5" s="1"/>
  <c r="C170" i="5"/>
  <c r="J170" i="5" s="1"/>
  <c r="C159" i="5"/>
  <c r="J160" i="5"/>
  <c r="J159" i="5" s="1"/>
  <c r="I168" i="5"/>
  <c r="C172" i="5"/>
  <c r="J172" i="5" s="1"/>
  <c r="C168" i="5"/>
  <c r="J169" i="5"/>
  <c r="J168" i="5" l="1"/>
  <c r="K159" i="5"/>
  <c r="M159" i="5"/>
  <c r="N159" i="5" s="1"/>
  <c r="K168" i="5"/>
  <c r="M168" i="5"/>
  <c r="N168" i="5" s="1"/>
</calcChain>
</file>

<file path=xl/sharedStrings.xml><?xml version="1.0" encoding="utf-8"?>
<sst xmlns="http://schemas.openxmlformats.org/spreadsheetml/2006/main" count="138" uniqueCount="84">
  <si>
    <t>V</t>
  </si>
  <si>
    <t>Тип проекта</t>
  </si>
  <si>
    <t>Капитализация</t>
  </si>
  <si>
    <t>Описание</t>
  </si>
  <si>
    <t>теплицы</t>
  </si>
  <si>
    <t>грибы и овощехранилище в скале</t>
  </si>
  <si>
    <t>рыборазводники</t>
  </si>
  <si>
    <t>F</t>
  </si>
  <si>
    <t xml:space="preserve">I </t>
  </si>
  <si>
    <t>общая инфраструктура</t>
  </si>
  <si>
    <t>переработка продукции</t>
  </si>
  <si>
    <t>другие проекты</t>
  </si>
  <si>
    <t>нет</t>
  </si>
  <si>
    <t>да</t>
  </si>
  <si>
    <t>таможенная инфраструктура</t>
  </si>
  <si>
    <t>АЛГОРИТМ ЧЕКАНКИ</t>
  </si>
  <si>
    <t>-</t>
  </si>
  <si>
    <t>Сумма, $</t>
  </si>
  <si>
    <t>ПЛАН ПРОДАЖ ТОКЕНОВ</t>
  </si>
  <si>
    <t>УСЛОВИЯ ПО ПРОЕКТАМ</t>
  </si>
  <si>
    <t>2 кв. 2022</t>
  </si>
  <si>
    <t>3 кв. 2022</t>
  </si>
  <si>
    <t>4 кв. 2022</t>
  </si>
  <si>
    <t>1 кв. 2023</t>
  </si>
  <si>
    <t>2 кв. 2023</t>
  </si>
  <si>
    <t>3 кв. 2023</t>
  </si>
  <si>
    <t>4 кв. 2023</t>
  </si>
  <si>
    <t>1 кв. 2024</t>
  </si>
  <si>
    <t>2 кв. 2024</t>
  </si>
  <si>
    <t>3 кв. 2024</t>
  </si>
  <si>
    <t>Период продаж</t>
  </si>
  <si>
    <t>4 кв. 2024</t>
  </si>
  <si>
    <t>1 кв. 2025</t>
  </si>
  <si>
    <t>2 кв. 2025</t>
  </si>
  <si>
    <t>3 кв. 2025</t>
  </si>
  <si>
    <t>4 кв. 2025</t>
  </si>
  <si>
    <t>1 кв. 2026</t>
  </si>
  <si>
    <t>2 кв. 2026</t>
  </si>
  <si>
    <t>3 кв. 2026</t>
  </si>
  <si>
    <t>4 кв. 2026</t>
  </si>
  <si>
    <t>Общее количество проданных токенов</t>
  </si>
  <si>
    <t>Период</t>
  </si>
  <si>
    <t>Типы проектов</t>
  </si>
  <si>
    <t>шт.</t>
  </si>
  <si>
    <t>Продано токенов</t>
  </si>
  <si>
    <t>ВСЕГО:</t>
  </si>
  <si>
    <t>овощи открытого грунта</t>
  </si>
  <si>
    <t>В разрезе проектов</t>
  </si>
  <si>
    <t>По всем проектам</t>
  </si>
  <si>
    <t>Средняя цена 1 токена, $</t>
  </si>
  <si>
    <t>В текущем квартале</t>
  </si>
  <si>
    <t>G*</t>
  </si>
  <si>
    <t>M*</t>
  </si>
  <si>
    <t>R*</t>
  </si>
  <si>
    <t>А*</t>
  </si>
  <si>
    <t>ДОЛЯ</t>
  </si>
  <si>
    <t>пресейл (2 кв.2022)</t>
  </si>
  <si>
    <t>Продано токенов (накопительно)</t>
  </si>
  <si>
    <t>За весь период</t>
  </si>
  <si>
    <t>Цена токена, $</t>
  </si>
  <si>
    <t>Этапы чеканки</t>
  </si>
  <si>
    <t>2 кв. 2022 (пресейл)</t>
  </si>
  <si>
    <t>$ (факт)</t>
  </si>
  <si>
    <t>Max количество токенов</t>
  </si>
  <si>
    <t>Средняя цена (номинал), $/токен</t>
  </si>
  <si>
    <t>через 1 кв</t>
  </si>
  <si>
    <t>С*</t>
  </si>
  <si>
    <t>когда начинает начисляться доход</t>
  </si>
  <si>
    <t>через 1 год</t>
  </si>
  <si>
    <t>2 года - 0, потом 50% год от всего с капитализацией</t>
  </si>
  <si>
    <t>через 2 года</t>
  </si>
  <si>
    <t>Фактическая средняя доходность 1 токена, % годовых</t>
  </si>
  <si>
    <t xml:space="preserve">Средняя выплата на 1 токен </t>
  </si>
  <si>
    <t>Прибыль к распределению, $</t>
  </si>
  <si>
    <t>Количество токенов, шт.</t>
  </si>
  <si>
    <t>Распределение суммы  проданных токенов в разбивке на номинальные цены, $</t>
  </si>
  <si>
    <t>Остатки сумм токенов к распределению по различным номинальным ценам, $</t>
  </si>
  <si>
    <t>Доходность, % годовых (всё время)</t>
  </si>
  <si>
    <t>Доходность, % г-х на 2-й год</t>
  </si>
  <si>
    <t>Доходность, % г-х на 3-й год</t>
  </si>
  <si>
    <t>presale</t>
  </si>
  <si>
    <t xml:space="preserve"> </t>
  </si>
  <si>
    <t>$ (по отпускной цене)</t>
  </si>
  <si>
    <t>Отпускная цена токена,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</si>
</sst>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0"/>
    <numFmt numFmtId="165" formatCode="#,##0.000_ ;\-#,##0.0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charset val="204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/>
    </xf>
    <xf numFmtId="3" fontId="0" fillId="3" borderId="8" xfId="0" applyNumberFormat="1" applyFill="1" applyBorder="1" applyAlignment="1" applyProtection="1">
      <alignment horizontal="center" vertical="center"/>
      <protection locked="0"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3" fontId="11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164" fontId="12" fillId="0" borderId="0" xfId="0" applyNumberFormat="1" applyFont="1"/>
    <xf numFmtId="0" fontId="14" fillId="6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9" fontId="11" fillId="0" borderId="1" xfId="2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Protection="1"/>
    <xf numFmtId="0" fontId="5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9" fontId="5" fillId="0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ill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/>
    </xf>
    <xf numFmtId="3" fontId="5" fillId="0" borderId="10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right" vertical="center"/>
    </xf>
    <xf numFmtId="4" fontId="5" fillId="0" borderId="10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/>
    </xf>
    <xf numFmtId="0" fontId="0" fillId="0" borderId="13" xfId="0" applyBorder="1" applyAlignment="1" applyProtection="1"/>
    <xf numFmtId="0" fontId="0" fillId="0" borderId="14" xfId="0" applyBorder="1" applyAlignment="1" applyProtection="1"/>
    <xf numFmtId="0" fontId="6" fillId="0" borderId="5" xfId="0" applyFont="1" applyBorder="1" applyAlignment="1" applyProtection="1"/>
    <xf numFmtId="0" fontId="0" fillId="0" borderId="8" xfId="0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4" fontId="5" fillId="0" borderId="8" xfId="0" applyNumberFormat="1" applyFont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15" xfId="0" applyNumberFormat="1" applyFont="1" applyBorder="1" applyAlignment="1" applyProtection="1">
      <alignment horizontal="center" vertical="center"/>
    </xf>
    <xf numFmtId="4" fontId="5" fillId="0" borderId="16" xfId="0" applyNumberFormat="1" applyFont="1" applyBorder="1" applyAlignment="1" applyProtection="1">
      <alignment horizontal="center" vertical="center"/>
    </xf>
    <xf numFmtId="43" fontId="6" fillId="0" borderId="0" xfId="1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165" fontId="6" fillId="0" borderId="1" xfId="1" applyNumberFormat="1" applyFont="1" applyBorder="1" applyAlignment="1" applyProtection="1">
      <alignment horizontal="center" vertical="center"/>
    </xf>
    <xf numFmtId="4" fontId="0" fillId="0" borderId="8" xfId="0" applyNumberFormat="1" applyBorder="1" applyAlignment="1" applyProtection="1">
      <alignment horizontal="center" vertical="center"/>
    </xf>
    <xf numFmtId="4" fontId="0" fillId="0" borderId="11" xfId="0" applyNumberFormat="1" applyBorder="1" applyAlignment="1" applyProtection="1">
      <alignment horizontal="center" vertical="center"/>
    </xf>
    <xf numFmtId="4" fontId="0" fillId="0" borderId="2" xfId="0" applyNumberFormat="1" applyBorder="1" applyAlignment="1" applyProtection="1">
      <alignment horizontal="center" vertical="center"/>
    </xf>
    <xf numFmtId="4" fontId="0" fillId="0" borderId="15" xfId="0" applyNumberFormat="1" applyBorder="1" applyAlignment="1" applyProtection="1">
      <alignment horizontal="center" vertical="center"/>
    </xf>
    <xf numFmtId="4" fontId="0" fillId="0" borderId="16" xfId="0" applyNumberFormat="1" applyBorder="1" applyAlignment="1" applyProtection="1">
      <alignment horizontal="center" vertical="center"/>
    </xf>
    <xf numFmtId="4" fontId="0" fillId="0" borderId="17" xfId="0" applyNumberFormat="1" applyBorder="1" applyAlignment="1" applyProtection="1">
      <alignment horizontal="center" vertical="center"/>
    </xf>
    <xf numFmtId="4" fontId="0" fillId="0" borderId="3" xfId="0" applyNumberFormat="1" applyBorder="1" applyAlignment="1" applyProtection="1">
      <alignment horizontal="center" vertical="center"/>
    </xf>
    <xf numFmtId="4" fontId="0" fillId="0" borderId="4" xfId="0" applyNumberFormat="1" applyBorder="1" applyAlignment="1" applyProtection="1">
      <alignment horizontal="center" vertical="center"/>
    </xf>
    <xf numFmtId="4" fontId="0" fillId="0" borderId="6" xfId="0" applyNumberFormat="1" applyBorder="1" applyAlignment="1" applyProtection="1">
      <alignment horizontal="center" vertical="center"/>
    </xf>
    <xf numFmtId="4" fontId="0" fillId="0" borderId="9" xfId="0" applyNumberFormat="1" applyBorder="1" applyAlignment="1" applyProtection="1">
      <alignment horizontal="center" vertical="center"/>
    </xf>
    <xf numFmtId="4" fontId="0" fillId="0" borderId="7" xfId="0" applyNumberFormat="1" applyBorder="1" applyAlignment="1" applyProtection="1">
      <alignment horizontal="center" vertical="center"/>
    </xf>
    <xf numFmtId="4" fontId="0" fillId="0" borderId="18" xfId="0" applyNumberFormat="1" applyBorder="1" applyAlignment="1" applyProtection="1">
      <alignment horizontal="center" vertical="center"/>
    </xf>
    <xf numFmtId="4" fontId="0" fillId="0" borderId="19" xfId="0" applyNumberFormat="1" applyBorder="1" applyAlignment="1" applyProtection="1">
      <alignment horizontal="center" vertical="center"/>
    </xf>
    <xf numFmtId="4" fontId="0" fillId="0" borderId="20" xfId="0" applyNumberFormat="1" applyBorder="1" applyAlignment="1" applyProtection="1">
      <alignment horizontal="center" vertical="center"/>
    </xf>
    <xf numFmtId="4" fontId="0" fillId="0" borderId="21" xfId="0" applyNumberFormat="1" applyBorder="1" applyAlignment="1" applyProtection="1">
      <alignment horizontal="center" vertical="center"/>
    </xf>
    <xf numFmtId="43" fontId="9" fillId="0" borderId="0" xfId="0" applyNumberFormat="1" applyFont="1" applyAlignment="1" applyProtection="1">
      <alignment horizontal="center" vertical="center"/>
    </xf>
    <xf numFmtId="3" fontId="10" fillId="0" borderId="0" xfId="0" applyNumberFormat="1" applyFont="1" applyAlignment="1" applyProtection="1">
      <alignment horizontal="center" vertical="center"/>
    </xf>
    <xf numFmtId="4" fontId="13" fillId="0" borderId="0" xfId="0" applyNumberFormat="1" applyFont="1" applyProtection="1"/>
    <xf numFmtId="4" fontId="0" fillId="0" borderId="0" xfId="0" applyNumberFormat="1" applyAlignment="1" applyProtection="1">
      <alignment vertical="center"/>
    </xf>
    <xf numFmtId="9" fontId="0" fillId="0" borderId="1" xfId="2" applyFont="1" applyBorder="1" applyAlignment="1" applyProtection="1">
      <alignment horizontal="center" vertical="center"/>
      <protection locked="0"/>
    </xf>
    <xf numFmtId="9" fontId="3" fillId="5" borderId="1" xfId="0" applyNumberFormat="1" applyFont="1" applyFill="1" applyBorder="1" applyAlignment="1" applyProtection="1">
      <alignment horizontal="center" vertical="center"/>
      <protection locked="0"/>
    </xf>
    <xf numFmtId="9" fontId="8" fillId="0" borderId="1" xfId="2" applyFont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4" fontId="0" fillId="5" borderId="1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3" fontId="3" fillId="5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8"/>
  <sheetViews>
    <sheetView tabSelected="1" topLeftCell="A31" zoomScale="70" zoomScaleNormal="70" workbookViewId="0">
      <selection activeCell="C56" sqref="C56"/>
    </sheetView>
  </sheetViews>
  <sheetFormatPr defaultRowHeight="15" x14ac:dyDescent="0.25"/>
  <cols>
    <col min="1" max="1" width="18.5703125" style="38" customWidth="1"/>
    <col min="2" max="2" width="19.28515625" style="41" customWidth="1"/>
    <col min="3" max="3" width="16.42578125" style="41" customWidth="1"/>
    <col min="4" max="4" width="16.140625" style="41" customWidth="1"/>
    <col min="5" max="5" width="16.42578125" style="41" customWidth="1"/>
    <col min="6" max="6" width="14.85546875" style="41" customWidth="1"/>
    <col min="7" max="7" width="16.140625" style="41" customWidth="1"/>
    <col min="8" max="8" width="13.42578125" style="41" customWidth="1"/>
    <col min="9" max="10" width="13" style="38" customWidth="1"/>
    <col min="11" max="33" width="12.140625" style="38" customWidth="1"/>
    <col min="34" max="34" width="12" bestFit="1" customWidth="1"/>
  </cols>
  <sheetData>
    <row r="2" spans="2:10" x14ac:dyDescent="0.25">
      <c r="B2" s="39" t="s">
        <v>19</v>
      </c>
      <c r="C2" s="40"/>
    </row>
    <row r="3" spans="2:10" ht="45" customHeight="1" x14ac:dyDescent="0.25">
      <c r="B3" s="42" t="s">
        <v>1</v>
      </c>
      <c r="C3" s="42" t="s">
        <v>3</v>
      </c>
      <c r="D3" s="42" t="s">
        <v>2</v>
      </c>
      <c r="E3" s="43" t="s">
        <v>77</v>
      </c>
      <c r="F3" s="43" t="s">
        <v>78</v>
      </c>
      <c r="G3" s="43" t="s">
        <v>79</v>
      </c>
      <c r="H3" s="42" t="s">
        <v>55</v>
      </c>
      <c r="I3" s="43" t="s">
        <v>67</v>
      </c>
      <c r="J3" s="41"/>
    </row>
    <row r="4" spans="2:10" ht="18" customHeight="1" x14ac:dyDescent="0.25">
      <c r="B4" s="44" t="s">
        <v>0</v>
      </c>
      <c r="C4" s="45" t="s">
        <v>46</v>
      </c>
      <c r="D4" s="46" t="s">
        <v>12</v>
      </c>
      <c r="E4" s="99">
        <v>2</v>
      </c>
      <c r="F4" s="99" t="s">
        <v>16</v>
      </c>
      <c r="G4" s="99" t="s">
        <v>16</v>
      </c>
      <c r="H4" s="100">
        <v>0.3</v>
      </c>
      <c r="I4" s="45" t="s">
        <v>65</v>
      </c>
      <c r="J4" s="41"/>
    </row>
    <row r="5" spans="2:10" ht="19.5" customHeight="1" x14ac:dyDescent="0.25">
      <c r="B5" s="47" t="s">
        <v>51</v>
      </c>
      <c r="C5" s="45" t="s">
        <v>4</v>
      </c>
      <c r="D5" s="42" t="s">
        <v>13</v>
      </c>
      <c r="E5" s="99">
        <v>1</v>
      </c>
      <c r="F5" s="99" t="s">
        <v>16</v>
      </c>
      <c r="G5" s="99" t="s">
        <v>16</v>
      </c>
      <c r="H5" s="100">
        <v>0.25</v>
      </c>
      <c r="I5" s="45" t="s">
        <v>65</v>
      </c>
      <c r="J5" s="41"/>
    </row>
    <row r="6" spans="2:10" ht="19.5" customHeight="1" x14ac:dyDescent="0.25">
      <c r="B6" s="47" t="s">
        <v>52</v>
      </c>
      <c r="C6" s="45" t="s">
        <v>5</v>
      </c>
      <c r="D6" s="42" t="s">
        <v>13</v>
      </c>
      <c r="E6" s="99" t="s">
        <v>16</v>
      </c>
      <c r="F6" s="99">
        <v>2</v>
      </c>
      <c r="G6" s="99" t="s">
        <v>16</v>
      </c>
      <c r="H6" s="100">
        <v>0.15</v>
      </c>
      <c r="I6" s="45" t="s">
        <v>68</v>
      </c>
      <c r="J6" s="41"/>
    </row>
    <row r="7" spans="2:10" ht="16.5" customHeight="1" x14ac:dyDescent="0.25">
      <c r="B7" s="46" t="s">
        <v>7</v>
      </c>
      <c r="C7" s="45" t="s">
        <v>6</v>
      </c>
      <c r="D7" s="46" t="s">
        <v>12</v>
      </c>
      <c r="E7" s="99">
        <v>2</v>
      </c>
      <c r="F7" s="99" t="s">
        <v>16</v>
      </c>
      <c r="G7" s="99" t="s">
        <v>16</v>
      </c>
      <c r="H7" s="100">
        <v>0.05</v>
      </c>
      <c r="I7" s="45" t="s">
        <v>65</v>
      </c>
      <c r="J7" s="41"/>
    </row>
    <row r="8" spans="2:10" ht="16.5" customHeight="1" x14ac:dyDescent="0.25">
      <c r="B8" s="47" t="s">
        <v>66</v>
      </c>
      <c r="C8" s="45" t="s">
        <v>14</v>
      </c>
      <c r="D8" s="42" t="s">
        <v>13</v>
      </c>
      <c r="E8" s="99">
        <v>0.5</v>
      </c>
      <c r="F8" s="99" t="s">
        <v>16</v>
      </c>
      <c r="G8" s="99" t="s">
        <v>16</v>
      </c>
      <c r="H8" s="100">
        <v>0.05</v>
      </c>
      <c r="I8" s="45" t="s">
        <v>65</v>
      </c>
      <c r="J8" s="41"/>
    </row>
    <row r="9" spans="2:10" x14ac:dyDescent="0.25">
      <c r="B9" s="46" t="s">
        <v>8</v>
      </c>
      <c r="C9" s="45" t="s">
        <v>9</v>
      </c>
      <c r="D9" s="46" t="s">
        <v>12</v>
      </c>
      <c r="E9" s="99">
        <v>0</v>
      </c>
      <c r="F9" s="99" t="s">
        <v>16</v>
      </c>
      <c r="G9" s="99" t="s">
        <v>16</v>
      </c>
      <c r="H9" s="100">
        <v>0.05</v>
      </c>
      <c r="I9" s="45" t="s">
        <v>65</v>
      </c>
      <c r="J9" s="41"/>
    </row>
    <row r="10" spans="2:10" ht="18.75" customHeight="1" x14ac:dyDescent="0.25">
      <c r="B10" s="47" t="s">
        <v>53</v>
      </c>
      <c r="C10" s="45" t="s">
        <v>10</v>
      </c>
      <c r="D10" s="42" t="s">
        <v>13</v>
      </c>
      <c r="E10" s="99">
        <v>0.5</v>
      </c>
      <c r="F10" s="99" t="s">
        <v>16</v>
      </c>
      <c r="G10" s="99" t="s">
        <v>16</v>
      </c>
      <c r="H10" s="100">
        <v>0.1</v>
      </c>
      <c r="I10" s="45" t="s">
        <v>65</v>
      </c>
      <c r="J10" s="41"/>
    </row>
    <row r="11" spans="2:10" x14ac:dyDescent="0.25">
      <c r="B11" s="47" t="s">
        <v>54</v>
      </c>
      <c r="C11" s="45" t="s">
        <v>11</v>
      </c>
      <c r="D11" s="42" t="s">
        <v>13</v>
      </c>
      <c r="E11" s="101" t="s">
        <v>16</v>
      </c>
      <c r="F11" s="101" t="s">
        <v>16</v>
      </c>
      <c r="G11" s="101">
        <v>0.5</v>
      </c>
      <c r="H11" s="100">
        <v>0.05</v>
      </c>
      <c r="I11" s="45" t="s">
        <v>70</v>
      </c>
      <c r="J11" s="48" t="s">
        <v>69</v>
      </c>
    </row>
    <row r="12" spans="2:10" x14ac:dyDescent="0.25">
      <c r="B12" s="49"/>
      <c r="H12" s="50">
        <f>SUM(H4:H11)</f>
        <v>1.0000000000000002</v>
      </c>
      <c r="I12" s="41"/>
      <c r="J12" s="41"/>
    </row>
    <row r="14" spans="2:10" x14ac:dyDescent="0.25">
      <c r="B14" s="39" t="s">
        <v>15</v>
      </c>
      <c r="C14" s="40"/>
    </row>
    <row r="15" spans="2:10" ht="30.75" customHeight="1" x14ac:dyDescent="0.25">
      <c r="B15" s="42" t="s">
        <v>60</v>
      </c>
      <c r="C15" s="43" t="s">
        <v>63</v>
      </c>
      <c r="D15" s="42" t="s">
        <v>59</v>
      </c>
      <c r="E15" s="42" t="s">
        <v>17</v>
      </c>
      <c r="F15" s="43" t="s">
        <v>83</v>
      </c>
    </row>
    <row r="16" spans="2:10" x14ac:dyDescent="0.25">
      <c r="B16" s="46" t="s">
        <v>56</v>
      </c>
      <c r="C16" s="102" t="s">
        <v>16</v>
      </c>
      <c r="D16" s="103">
        <v>0.03</v>
      </c>
      <c r="E16" s="104" t="s">
        <v>16</v>
      </c>
      <c r="F16" s="51">
        <f>D17</f>
        <v>0.05</v>
      </c>
    </row>
    <row r="17" spans="1:33" x14ac:dyDescent="0.25">
      <c r="B17" s="46">
        <v>1</v>
      </c>
      <c r="C17" s="105">
        <v>10000000</v>
      </c>
      <c r="D17" s="103">
        <v>0.05</v>
      </c>
      <c r="E17" s="104">
        <f>C17*D17</f>
        <v>500000</v>
      </c>
      <c r="F17" s="51">
        <f t="shared" ref="F17:F30" si="0">D17</f>
        <v>0.05</v>
      </c>
    </row>
    <row r="18" spans="1:33" x14ac:dyDescent="0.25">
      <c r="B18" s="46">
        <v>2</v>
      </c>
      <c r="C18" s="105">
        <v>5000000</v>
      </c>
      <c r="D18" s="103">
        <v>0.1</v>
      </c>
      <c r="E18" s="104">
        <f>C18*D18</f>
        <v>500000</v>
      </c>
      <c r="F18" s="51">
        <f t="shared" si="0"/>
        <v>0.1</v>
      </c>
    </row>
    <row r="19" spans="1:33" x14ac:dyDescent="0.25">
      <c r="B19" s="46">
        <v>3</v>
      </c>
      <c r="C19" s="105">
        <v>2500000</v>
      </c>
      <c r="D19" s="103">
        <v>0.2</v>
      </c>
      <c r="E19" s="104">
        <f>C19*D19</f>
        <v>500000</v>
      </c>
      <c r="F19" s="51">
        <f t="shared" si="0"/>
        <v>0.2</v>
      </c>
    </row>
    <row r="20" spans="1:33" x14ac:dyDescent="0.25">
      <c r="B20" s="46">
        <v>4</v>
      </c>
      <c r="C20" s="105">
        <v>1250000</v>
      </c>
      <c r="D20" s="103">
        <v>0.4</v>
      </c>
      <c r="E20" s="104">
        <f>C20*D20</f>
        <v>500000</v>
      </c>
      <c r="F20" s="51">
        <f t="shared" si="0"/>
        <v>0.4</v>
      </c>
    </row>
    <row r="21" spans="1:33" x14ac:dyDescent="0.25">
      <c r="B21" s="46">
        <v>5</v>
      </c>
      <c r="C21" s="105">
        <v>1000000</v>
      </c>
      <c r="D21" s="103">
        <v>0.5</v>
      </c>
      <c r="E21" s="104">
        <f t="shared" ref="E21:E22" si="1">C21*D21</f>
        <v>500000</v>
      </c>
      <c r="F21" s="51">
        <f t="shared" si="0"/>
        <v>0.5</v>
      </c>
    </row>
    <row r="22" spans="1:33" x14ac:dyDescent="0.25">
      <c r="B22" s="53">
        <v>6</v>
      </c>
      <c r="C22" s="105">
        <v>625000</v>
      </c>
      <c r="D22" s="103">
        <v>0.8</v>
      </c>
      <c r="E22" s="104">
        <f t="shared" si="1"/>
        <v>500000</v>
      </c>
      <c r="F22" s="51">
        <f t="shared" si="0"/>
        <v>0.8</v>
      </c>
    </row>
    <row r="23" spans="1:33" x14ac:dyDescent="0.25">
      <c r="B23" s="46">
        <v>7</v>
      </c>
      <c r="C23" s="105">
        <f>E23/D23</f>
        <v>555555.5555555555</v>
      </c>
      <c r="D23" s="103">
        <f>D22+0.1</f>
        <v>0.9</v>
      </c>
      <c r="E23" s="104">
        <v>500000</v>
      </c>
      <c r="F23" s="51">
        <f t="shared" si="0"/>
        <v>0.9</v>
      </c>
    </row>
    <row r="24" spans="1:33" x14ac:dyDescent="0.25">
      <c r="B24" s="46">
        <v>8</v>
      </c>
      <c r="C24" s="105">
        <f t="shared" ref="C24:C30" si="2">E24/D24</f>
        <v>500000</v>
      </c>
      <c r="D24" s="103">
        <f t="shared" ref="D24:D30" si="3">D23+0.1</f>
        <v>1</v>
      </c>
      <c r="E24" s="104">
        <v>500000</v>
      </c>
      <c r="F24" s="51">
        <f t="shared" si="0"/>
        <v>1</v>
      </c>
    </row>
    <row r="25" spans="1:33" x14ac:dyDescent="0.25">
      <c r="B25" s="46">
        <v>9</v>
      </c>
      <c r="C25" s="105">
        <f t="shared" si="2"/>
        <v>454545.45454545453</v>
      </c>
      <c r="D25" s="103">
        <f t="shared" si="3"/>
        <v>1.1000000000000001</v>
      </c>
      <c r="E25" s="104">
        <v>500000</v>
      </c>
      <c r="F25" s="51">
        <f t="shared" si="0"/>
        <v>1.1000000000000001</v>
      </c>
    </row>
    <row r="26" spans="1:33" x14ac:dyDescent="0.25">
      <c r="B26" s="46">
        <v>10</v>
      </c>
      <c r="C26" s="105">
        <f t="shared" si="2"/>
        <v>416666.66666666663</v>
      </c>
      <c r="D26" s="103">
        <f t="shared" si="3"/>
        <v>1.2000000000000002</v>
      </c>
      <c r="E26" s="104">
        <v>500000</v>
      </c>
      <c r="F26" s="51">
        <f t="shared" si="0"/>
        <v>1.2000000000000002</v>
      </c>
    </row>
    <row r="27" spans="1:33" x14ac:dyDescent="0.25">
      <c r="B27" s="46">
        <v>11</v>
      </c>
      <c r="C27" s="105">
        <f t="shared" si="2"/>
        <v>384615.38461538451</v>
      </c>
      <c r="D27" s="103">
        <f t="shared" si="3"/>
        <v>1.3000000000000003</v>
      </c>
      <c r="E27" s="104">
        <v>500000</v>
      </c>
      <c r="F27" s="51">
        <f t="shared" si="0"/>
        <v>1.3000000000000003</v>
      </c>
    </row>
    <row r="28" spans="1:33" x14ac:dyDescent="0.25">
      <c r="B28" s="46">
        <v>12</v>
      </c>
      <c r="C28" s="105">
        <f t="shared" si="2"/>
        <v>357142.85714285704</v>
      </c>
      <c r="D28" s="103">
        <f t="shared" si="3"/>
        <v>1.4000000000000004</v>
      </c>
      <c r="E28" s="104">
        <v>500000</v>
      </c>
      <c r="F28" s="51">
        <f t="shared" si="0"/>
        <v>1.4000000000000004</v>
      </c>
      <c r="J28" s="38" t="s">
        <v>81</v>
      </c>
    </row>
    <row r="29" spans="1:33" s="1" customFormat="1" x14ac:dyDescent="0.25">
      <c r="A29" s="41"/>
      <c r="B29" s="46">
        <v>13</v>
      </c>
      <c r="C29" s="105">
        <f t="shared" si="2"/>
        <v>333333.33333333326</v>
      </c>
      <c r="D29" s="103">
        <f t="shared" si="3"/>
        <v>1.5000000000000004</v>
      </c>
      <c r="E29" s="104">
        <v>500000</v>
      </c>
      <c r="F29" s="51">
        <f t="shared" si="0"/>
        <v>1.5000000000000004</v>
      </c>
      <c r="G29" s="41"/>
      <c r="H29" s="41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 spans="1:33" s="1" customFormat="1" ht="15.75" thickBot="1" x14ac:dyDescent="0.3">
      <c r="A30" s="41"/>
      <c r="B30" s="46">
        <v>14</v>
      </c>
      <c r="C30" s="105">
        <f t="shared" si="2"/>
        <v>312499.99999999988</v>
      </c>
      <c r="D30" s="103">
        <f t="shared" si="3"/>
        <v>1.6000000000000005</v>
      </c>
      <c r="E30" s="104">
        <v>500000</v>
      </c>
      <c r="F30" s="51">
        <f t="shared" si="0"/>
        <v>1.6000000000000005</v>
      </c>
      <c r="G30" s="41"/>
      <c r="H30" s="41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33" ht="15.75" thickBot="1" x14ac:dyDescent="0.3">
      <c r="B31" s="54" t="s">
        <v>45</v>
      </c>
      <c r="C31" s="55">
        <f>SUM(C17:C30)</f>
        <v>23689359.251859251</v>
      </c>
      <c r="D31" s="56"/>
      <c r="E31" s="57">
        <f>SUM(E17:E30)</f>
        <v>7000000</v>
      </c>
    </row>
    <row r="32" spans="1:33" x14ac:dyDescent="0.25"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33" s="1" customFormat="1" x14ac:dyDescent="0.25">
      <c r="A33" s="41"/>
      <c r="B33" s="39" t="s">
        <v>18</v>
      </c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38"/>
      <c r="U33" s="38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</row>
    <row r="34" spans="1:33" ht="15.75" thickBot="1" x14ac:dyDescent="0.3"/>
    <row r="35" spans="1:33" ht="24.75" customHeight="1" x14ac:dyDescent="0.25">
      <c r="A35" s="58" t="s">
        <v>74</v>
      </c>
      <c r="B35" s="59" t="s">
        <v>30</v>
      </c>
      <c r="C35" s="60" t="s">
        <v>40</v>
      </c>
      <c r="D35" s="61"/>
      <c r="E35" s="62" t="s">
        <v>64</v>
      </c>
      <c r="F35" s="63" t="s">
        <v>75</v>
      </c>
      <c r="G35" s="64"/>
      <c r="H35" s="64"/>
      <c r="I35" s="64"/>
      <c r="J35" s="64"/>
      <c r="K35" s="64"/>
      <c r="L35" s="65"/>
      <c r="M35" s="65"/>
      <c r="N35" s="65"/>
      <c r="O35" s="65"/>
      <c r="P35" s="65"/>
      <c r="Q35" s="65"/>
      <c r="R35" s="65"/>
      <c r="S35" s="65"/>
      <c r="T35" s="66" t="s">
        <v>76</v>
      </c>
      <c r="U35" s="67"/>
      <c r="V35" s="67"/>
      <c r="W35" s="67"/>
      <c r="X35" s="67"/>
      <c r="Y35" s="67"/>
      <c r="Z35" s="68"/>
      <c r="AA35" s="68"/>
      <c r="AB35" s="68"/>
      <c r="AC35" s="68"/>
      <c r="AD35" s="68"/>
      <c r="AE35" s="68"/>
      <c r="AF35" s="68"/>
      <c r="AG35" s="69"/>
    </row>
    <row r="36" spans="1:33" ht="18" customHeight="1" x14ac:dyDescent="0.25">
      <c r="A36" s="70"/>
      <c r="B36" s="71"/>
      <c r="C36" s="42" t="s">
        <v>62</v>
      </c>
      <c r="D36" s="72" t="s">
        <v>82</v>
      </c>
      <c r="E36" s="62"/>
      <c r="F36" s="73">
        <f>D17</f>
        <v>0.05</v>
      </c>
      <c r="G36" s="73">
        <f>D18</f>
        <v>0.1</v>
      </c>
      <c r="H36" s="73">
        <f>D19</f>
        <v>0.2</v>
      </c>
      <c r="I36" s="73">
        <f>D20</f>
        <v>0.4</v>
      </c>
      <c r="J36" s="73">
        <f>D21</f>
        <v>0.5</v>
      </c>
      <c r="K36" s="74">
        <f>D22</f>
        <v>0.8</v>
      </c>
      <c r="L36" s="74">
        <f>D23</f>
        <v>0.9</v>
      </c>
      <c r="M36" s="74">
        <f>D24</f>
        <v>1</v>
      </c>
      <c r="N36" s="74">
        <f>D25</f>
        <v>1.1000000000000001</v>
      </c>
      <c r="O36" s="74">
        <f>D26</f>
        <v>1.2000000000000002</v>
      </c>
      <c r="P36" s="74">
        <f>D27</f>
        <v>1.3000000000000003</v>
      </c>
      <c r="Q36" s="74">
        <f>D28</f>
        <v>1.4000000000000004</v>
      </c>
      <c r="R36" s="74">
        <f>D29</f>
        <v>1.5000000000000004</v>
      </c>
      <c r="S36" s="74">
        <f>D30</f>
        <v>1.6000000000000005</v>
      </c>
      <c r="T36" s="75">
        <f t="shared" ref="T36:Y36" si="4">F36</f>
        <v>0.05</v>
      </c>
      <c r="U36" s="73">
        <f t="shared" si="4"/>
        <v>0.1</v>
      </c>
      <c r="V36" s="73">
        <f t="shared" si="4"/>
        <v>0.2</v>
      </c>
      <c r="W36" s="73">
        <f t="shared" si="4"/>
        <v>0.4</v>
      </c>
      <c r="X36" s="73">
        <f t="shared" si="4"/>
        <v>0.5</v>
      </c>
      <c r="Y36" s="73">
        <f t="shared" si="4"/>
        <v>0.8</v>
      </c>
      <c r="Z36" s="73">
        <f t="shared" ref="Z36:AG36" si="5">L36</f>
        <v>0.9</v>
      </c>
      <c r="AA36" s="73">
        <f t="shared" si="5"/>
        <v>1</v>
      </c>
      <c r="AB36" s="73">
        <f t="shared" si="5"/>
        <v>1.1000000000000001</v>
      </c>
      <c r="AC36" s="73">
        <f t="shared" si="5"/>
        <v>1.2000000000000002</v>
      </c>
      <c r="AD36" s="73">
        <f t="shared" si="5"/>
        <v>1.3000000000000003</v>
      </c>
      <c r="AE36" s="73">
        <f t="shared" si="5"/>
        <v>1.4000000000000004</v>
      </c>
      <c r="AF36" s="73">
        <f t="shared" si="5"/>
        <v>1.5000000000000004</v>
      </c>
      <c r="AG36" s="76">
        <f t="shared" si="5"/>
        <v>1.6000000000000005</v>
      </c>
    </row>
    <row r="37" spans="1:33" x14ac:dyDescent="0.25">
      <c r="A37" s="77">
        <f>D37/E37</f>
        <v>5000000</v>
      </c>
      <c r="B37" s="78" t="s">
        <v>61</v>
      </c>
      <c r="C37" s="2">
        <v>150000</v>
      </c>
      <c r="D37" s="52">
        <f>C37/D16*F16</f>
        <v>250000</v>
      </c>
      <c r="E37" s="79">
        <f>D37/(F37/$F$36+G37/$G$36+H37/$H$36+I37/$I$36+J37/$J$36+K37/$K$36+L37/$L$36+M37/$M$36+N37/$N$36+O37/$O$36+P37/$P$36+Q37/$Q$36+R37/$R$36+S37/$S$36)</f>
        <v>0.05</v>
      </c>
      <c r="F37" s="80">
        <f>IF(D37&lt;=E17,D37,E17)</f>
        <v>250000</v>
      </c>
      <c r="G37" s="80">
        <f>IF((IF((D37-F37)&lt;=E18,(D37-F37),E18))&gt;0,(IF((D37-F37)&lt;=E18,(D37-F37),E18)),0)</f>
        <v>0</v>
      </c>
      <c r="H37" s="80">
        <f>IF((IF((D37-F37-G37)&lt;=E19,(D37-F37-G37),E19))&gt;0,(IF((D37-F37-G37)&lt;=E19,(D37-F37-G37),E19)),0)</f>
        <v>0</v>
      </c>
      <c r="I37" s="80">
        <f>IF((IF((D37-F37-G37-H37)&lt;=E20,(D37-F37-G37-H37),E20))&gt;0,(IF((D37-F37-G37-H37)&lt;=E20,(D37-F37-G37-H37),E20)),0)</f>
        <v>0</v>
      </c>
      <c r="J37" s="80">
        <f>IF((IF((D37-F37-G37-H37-I37)&lt;=E21,(D37-F37-G37-H37-I37),E21))&gt;0,(IF((D37-F37-G37-H37-I37)&lt;=E21,(D37-F37-G37-H37-I37),E21)),0)</f>
        <v>0</v>
      </c>
      <c r="K37" s="81">
        <f>IF((IF((D37-F37-G37-H37-I37-J37)&lt;=E22,(D37-F37-G37-H37-I37-J37),E22))&gt;0,(IF((D37-F37-G37-H37-I37-J37)&lt;=E22,(D37-F37-G37-H37-I37-J37),E22)),0)</f>
        <v>0</v>
      </c>
      <c r="L37" s="81">
        <f>IF((IF((D37-F37-G37-H37-I37-J37-K37)&lt;=E23,(D37-F37-G37-H37-I37-J37-K37),E23))&gt;0,(IF((D37-F37-G37-H37-I37-J37-K37)&lt;=E23,(D37-F37-G37-H37-I37-J37-K37),E23)),0)</f>
        <v>0</v>
      </c>
      <c r="M37" s="81">
        <f>IF((IF((D37-F37-G37-H37-I37-J37-K37-L37)&lt;=E24,(D37-F37-G37-H37-I37-J37-K37-L37),E24))&gt;0,(IF((D37-F37-G37-H37-I37-J37-K37-L37)&lt;=E24,(D37-F37-G37-H37-I37-J37-K37-L37),E24)),0)</f>
        <v>0</v>
      </c>
      <c r="N37" s="81">
        <f>IF((IF((D37-F37-G37-H37-I37-J37-K37-L37-M37)&lt;=E25,(D37-F37-G37-H37-I37-J37-K37-L37-M37),E25))&gt;0,(IF((D37-F37-G37-H37-I37-J37-K37-L37-M37)&lt;=E25,(D37-F37-G37-H37-I37-J37-K37-L37-M37),E25)),0)</f>
        <v>0</v>
      </c>
      <c r="O37" s="81">
        <f>IF((IF((D37-F37-G37-H37-I37-J37-K37-L37-M37-N37)&lt;=E26,(D37-F37-G37-H37-I37-J37-K37-L37-M37-N37),E26))&gt;0,(IF((D37-F37-G37-H37-I37-J37-K37-L37-M37-N37)&lt;=E26,(D37-F37-G37-H37-I37-J37-K37-L37-M37-N37),E26)),0)</f>
        <v>0</v>
      </c>
      <c r="P37" s="81">
        <f>IF((IF((D37-F37-G37-H37-I37-J37-K37-L37-M37-N37-O37)&lt;=E27,(D37-F37-G37-H37-I37-J37-K37-L37-M37-N37-O37),E27))&gt;0,(IF((D37-F37-G37-H37-I37-J37-K37-L37-M37-N37-O37)&lt;=E27,(D37-F37-G37-H37-I37-J37-K37-L37-M37-N37-O37),E27)),0)</f>
        <v>0</v>
      </c>
      <c r="Q37" s="81">
        <f>IF((IF((D37-F37-G37-H37-I37-J37-K37-L37-M37-N37-O37-P37)&lt;=E28,(D37-F37-G37-H37-I37-J37-K37-L37-M37-N37-O37-P37),E28))&gt;0,(IF((D37-F37-G37-H37-I37-J37-K37-L37-M37-N37-O37-P37)&lt;=E28,(D37-F37-G37-H37-I37-J37-K37-L37-M37-N37-O37-P37),E28)),0)</f>
        <v>0</v>
      </c>
      <c r="R37" s="81">
        <f>IF((IF((D37-F37-G37-H37-I37-J37-K37-L37-M37-N37-O37-P37-Q37)&lt;=E29,(D37-F37-G37-H37-I37-J37-K37-L37-M37-N37-O37-P37-Q37),E29))&gt;0,(IF((D37-F37-G37-H37-I37-J37-K37-L37-M37-N37-O37-P37-Q37)&lt;=E29,(D37-F37-G37-H37-I37-J37-K37-L37-M37-N37-O37-P37-Q37),E29)),0)</f>
        <v>0</v>
      </c>
      <c r="S37" s="82">
        <f>IF((IF((D37-F37-G37-H37-I37-J37-K37-L37-M37-N37-O37-P37-Q37-R37)&lt;=E30,(D37-F37-G37-H37-I37-J37-K37-L37-M37-N37-O37-P37-Q37-R37),E30))&gt;0,(IF((D37-F37-G37-H37-I37-J37-K37-L37-M37-N37-O37-P37-Q37-R37)&lt;=E30,(D37-F37-G37-H37-I37-J37-K37-L37-M37-N37-O37-P37-Q37-R37),E30)),0)</f>
        <v>0</v>
      </c>
      <c r="T37" s="83">
        <f>E17-F37</f>
        <v>250000</v>
      </c>
      <c r="U37" s="80">
        <f>E18-G37</f>
        <v>500000</v>
      </c>
      <c r="V37" s="80">
        <f>E19-H37</f>
        <v>500000</v>
      </c>
      <c r="W37" s="80">
        <f>E20-I37</f>
        <v>500000</v>
      </c>
      <c r="X37" s="80">
        <f>E21-J37</f>
        <v>500000</v>
      </c>
      <c r="Y37" s="80">
        <f>E22-K37</f>
        <v>500000</v>
      </c>
      <c r="Z37" s="80">
        <f>E23-L37</f>
        <v>500000</v>
      </c>
      <c r="AA37" s="80">
        <f>E24-M37</f>
        <v>500000</v>
      </c>
      <c r="AB37" s="80">
        <f>E25-N37</f>
        <v>500000</v>
      </c>
      <c r="AC37" s="80">
        <f>E26-O37</f>
        <v>500000</v>
      </c>
      <c r="AD37" s="80">
        <f>E27-P37</f>
        <v>500000</v>
      </c>
      <c r="AE37" s="80">
        <f>E28-Q37</f>
        <v>500000</v>
      </c>
      <c r="AF37" s="80">
        <f>E29-R37</f>
        <v>500000</v>
      </c>
      <c r="AG37" s="84">
        <f>E30-S37</f>
        <v>500000</v>
      </c>
    </row>
    <row r="38" spans="1:33" s="1" customFormat="1" x14ac:dyDescent="0.25">
      <c r="A38" s="77">
        <f>D38/E38</f>
        <v>5500000</v>
      </c>
      <c r="B38" s="44" t="s">
        <v>21</v>
      </c>
      <c r="C38" s="3">
        <v>300000</v>
      </c>
      <c r="D38" s="52">
        <f>C38</f>
        <v>300000</v>
      </c>
      <c r="E38" s="79">
        <f t="shared" ref="E38:E54" si="6">D38/(F38/$F$36+G38/$G$36+H38/$H$36+I38/$I$36+J38/$J$36+K38/$K$36+L38/$L$36+M38/$M$36+N38/$N$36+O38/$O$36+P38/$P$36+Q38/$Q$36+R38/$R$36+S38/$S$36)</f>
        <v>5.4545454545454543E-2</v>
      </c>
      <c r="F38" s="52">
        <f t="shared" ref="F38:F55" si="7">IF(D38&lt;=T37,D38,T37)</f>
        <v>250000</v>
      </c>
      <c r="G38" s="52">
        <f t="shared" ref="G38:G55" si="8">IF((IF((D38-F38)&lt;=U37,(D38-F38),U37))&gt;0,(IF((D38-F38)&lt;=U37,(D38-F38),U37)),0)</f>
        <v>50000</v>
      </c>
      <c r="H38" s="52">
        <f t="shared" ref="H38:H55" si="9">IF((IF((D38-F38-G38)&lt;=V37,(D38-F38-G38),V37))&gt;0,(IF((D38-F38-G38)&lt;=V37,(D38-F38-G38),V37)),0)</f>
        <v>0</v>
      </c>
      <c r="I38" s="52">
        <f t="shared" ref="I38:I55" si="10">IF((IF((D38-F38-G38-H38)&lt;=W37,(D38-F38-G38-H38),W37))&gt;0,(IF((D38-F38-G38-H38)&lt;=W37,(D38-F38-G38-H38),W37)),0)</f>
        <v>0</v>
      </c>
      <c r="J38" s="52">
        <f t="shared" ref="J38:J55" si="11">IF((IF((D38-F38-G38-H38-I38)&lt;=X37,(D38-F38-G38-H38-I38),X37))&gt;0,(IF((D38-F38-G38-H38-I38)&lt;=X37,(D38-F38-G38-H38-I38),X37)),0)</f>
        <v>0</v>
      </c>
      <c r="K38" s="82">
        <f t="shared" ref="K38:K55" si="12">IF((IF((D38-F38-G38-H38-I38-J38)&lt;=Y37,(D38-F38-G38-H38-I38-J38),Y37))&gt;0,(IF((D38-F38-G38-H38-I38-J38)&lt;=Y37,(D38-F38-G38-H38-I38-J38),Y37)),0)</f>
        <v>0</v>
      </c>
      <c r="L38" s="81">
        <f>IF((IF((D38-F38-G38-H38-I38-J38-K38)&lt;=Z37,(D38-F38-G38-H38-I38-J38-K38),Z37))&gt;0,(IF((D38-F38-G38-H38-I38-J38-K38)&lt;=Z37,(D38-F38-G38-H38-I38-J38-K38),Z37)),0)</f>
        <v>0</v>
      </c>
      <c r="M38" s="81">
        <f>IF((IF((D38-F38-G38-H38-I38-J38-K38-L38)&lt;=AA37,(D38-F38-G38-H38-I38-J38-K38-L38),AA37))&gt;0,(IF((D38-F38-G38-H38-I38-J38-K38-L38)&lt;=AA37,(D38-F38-G38-H38-I38-J38-K38-L38),AA37)),0)</f>
        <v>0</v>
      </c>
      <c r="N38" s="81">
        <f>IF((IF((D38-F38-G38-H38-I38-J38-K38-L38-M38)&lt;=AB37,(D38-F38-G38-H38-I38-J38-K38-L38-M38),AB37))&gt;0,(IF((D38-F38-G38-H38-I38-J38-K38-L38-M38)&lt;=AB37,(D38-F38-G38-H38-I38-J38-K38-L38-M38),AB37)),0)</f>
        <v>0</v>
      </c>
      <c r="O38" s="81">
        <f>IF((IF((D38-F38-G38-H38-I38-J38-K38-L38-M38-N38)&lt;=AC37,(D38-F38-G38-H38-I38-J38-K38-L38-M38-N38),AC37))&gt;0,(IF((D38-F38-G38-H38-I38-J38-K38-L38-M38-N38)&lt;=AC37,(D38-F38-G38-H38-I38-J38-K38-L38-M38-N38),AC37)),0)</f>
        <v>0</v>
      </c>
      <c r="P38" s="81">
        <f>IF((IF((D38-F38-G38-H38-I38-J38-K38-L38-M38-N38-O38)&lt;=AD37,(D38-F38-G38-H38-I38-J38-K38-L38-M38-N38-O38),AD37))&gt;0,(IF((D38-F38-G38-H38-I38-J38-K38-L38-M38-N38-O38)&lt;=AD37,(D38-F38-G38-H38-I38-J38-K38-L38-M38-N38-O38),AD37)),0)</f>
        <v>0</v>
      </c>
      <c r="Q38" s="81">
        <f>IF((IF((D38-F38-G38-H38-I38-J38-K38-L38-M38-N38-O38-P38)&lt;=AE37,(D38-F38-G38-H38-I38-J38-K38-L38-M38-N38-O38-P38),AE37))&gt;0,(IF((D38-F38-G38-H38-I38-J38-K38-L38-M38-N38-O38-P38)&lt;=AE37,(D38-F38-G38-H38-I38-J38-K38-L38-M38-N38-O38-P38),AE37)),0)</f>
        <v>0</v>
      </c>
      <c r="R38" s="81">
        <f>IF((IF((D38-F38-G38-H38-I38-J38-K38-L38-M38-N38-O38-P38-Q38)&lt;=AF37,(D38-F38-G38-H38-I38-J38-K38-L38-M38-N38-O38-P38-Q38),AF37))&gt;0,(IF((D38-F38-G38-H38-I38-J38-K38-L38-M38-N38-O38-P38-Q38)&lt;=AF37,(D38-F38-G38-H38-I38-J38-K38-L38-M38-N38-O38-P38-Q38),AF37)),0)</f>
        <v>0</v>
      </c>
      <c r="S38" s="82">
        <f>IF((IF((D38-F38-G38-H38-I38-J38-K38-L38-M38-N38-O38-P38-Q38-R38)&lt;=AG37,(D38-F38-G38-H38-I38-J38-K38-L38-M38-N38-O38-P38-Q38-R38),AG37))&gt;0,(IF((D38-F38-G38-H38-I38-J38-K38-L38-M38-N38-O38-P38-Q38-R38)&lt;=AG37,(D38-F38-G38-H38-I38-J38-K38-L38-M38-N38-O38-P38-Q38-R38),AG37)),0)</f>
        <v>0</v>
      </c>
      <c r="T38" s="85">
        <f t="shared" ref="T38:AB39" si="13">T37-F38</f>
        <v>0</v>
      </c>
      <c r="U38" s="86">
        <f t="shared" si="13"/>
        <v>450000</v>
      </c>
      <c r="V38" s="86">
        <f t="shared" si="13"/>
        <v>500000</v>
      </c>
      <c r="W38" s="86">
        <f t="shared" si="13"/>
        <v>500000</v>
      </c>
      <c r="X38" s="86">
        <f t="shared" si="13"/>
        <v>500000</v>
      </c>
      <c r="Y38" s="86">
        <f t="shared" si="13"/>
        <v>500000</v>
      </c>
      <c r="Z38" s="80">
        <f t="shared" si="13"/>
        <v>500000</v>
      </c>
      <c r="AA38" s="80">
        <f t="shared" si="13"/>
        <v>500000</v>
      </c>
      <c r="AB38" s="80">
        <f t="shared" si="13"/>
        <v>500000</v>
      </c>
      <c r="AC38" s="80">
        <f t="shared" ref="AC38:AF38" si="14">AC37-O38</f>
        <v>500000</v>
      </c>
      <c r="AD38" s="80">
        <f t="shared" si="14"/>
        <v>500000</v>
      </c>
      <c r="AE38" s="80">
        <f t="shared" si="14"/>
        <v>500000</v>
      </c>
      <c r="AF38" s="80">
        <f t="shared" si="14"/>
        <v>500000</v>
      </c>
      <c r="AG38" s="84">
        <f>AG37-S38</f>
        <v>500000</v>
      </c>
    </row>
    <row r="39" spans="1:33" s="1" customFormat="1" x14ac:dyDescent="0.25">
      <c r="A39" s="77">
        <f t="shared" ref="A39:A49" si="15">D39/E39</f>
        <v>3500000</v>
      </c>
      <c r="B39" s="44" t="s">
        <v>22</v>
      </c>
      <c r="C39" s="3">
        <v>350000</v>
      </c>
      <c r="D39" s="52">
        <f t="shared" ref="D39:D55" si="16">C39</f>
        <v>350000</v>
      </c>
      <c r="E39" s="79">
        <f t="shared" si="6"/>
        <v>0.1</v>
      </c>
      <c r="F39" s="52">
        <f t="shared" si="7"/>
        <v>0</v>
      </c>
      <c r="G39" s="52">
        <f t="shared" si="8"/>
        <v>350000</v>
      </c>
      <c r="H39" s="52">
        <f t="shared" si="9"/>
        <v>0</v>
      </c>
      <c r="I39" s="52">
        <f t="shared" si="10"/>
        <v>0</v>
      </c>
      <c r="J39" s="52">
        <f t="shared" si="11"/>
        <v>0</v>
      </c>
      <c r="K39" s="82">
        <f t="shared" si="12"/>
        <v>0</v>
      </c>
      <c r="L39" s="81">
        <f>IF((IF((D39-F39-G39-H39-I39-J39-K39)&lt;=Z38,(D39-F39-G39-H39-I39-J39-K39),Z38))&gt;0,(IF((D39-F39-G39-H39-I39-J39-K39)&lt;=Z38,(D39-F39-G39-H39-I39-J39-K39),Z38)),0)</f>
        <v>0</v>
      </c>
      <c r="M39" s="81">
        <f t="shared" ref="M39:M54" si="17">IF((IF((D39-F39-G39-H39-I39-J39-K39-L39)&lt;=AA38,(D39-F39-G39-H39-I39-J39-K39-L39),AA38))&gt;0,(IF((D39-F39-G39-H39-I39-J39-K39-L39)&lt;=AA38,(D39-F39-G39-H39-I39-J39-K39-L39),AA38)),0)</f>
        <v>0</v>
      </c>
      <c r="N39" s="81">
        <f t="shared" ref="N39:N54" si="18">IF((IF((D39-F39-G39-H39-I39-J39-K39-L39-M39)&lt;=AB38,(D39-F39-G39-H39-I39-J39-K39-L39-M39),AB38))&gt;0,(IF((D39-F39-G39-H39-I39-J39-K39-L39-M39)&lt;=AB38,(D39-F39-G39-H39-I39-J39-K39-L39-M39),AB38)),0)</f>
        <v>0</v>
      </c>
      <c r="O39" s="81">
        <f t="shared" ref="O39:O54" si="19">IF((IF((D39-F39-G39-H39-I39-J39-K39-L39-M39-N39)&lt;=AC38,(D39-F39-G39-H39-I39-J39-K39-L39-M39-N39),AC38))&gt;0,(IF((D39-F39-G39-H39-I39-J39-K39-L39-M39-N39)&lt;=AC38,(D39-F39-G39-H39-I39-J39-K39-L39-M39-N39),AC38)),0)</f>
        <v>0</v>
      </c>
      <c r="P39" s="81">
        <f t="shared" ref="P39:P55" si="20">IF((IF((D39-F39-G39-H39-I39-J39-K39-L39-M39-N39-O39)&lt;=AD38,(D39-F39-G39-H39-I39-J39-K39-L39-M39-N39-O39),AD38))&gt;0,(IF((D39-F39-G39-H39-I39-J39-K39-L39-M39-N39-O39)&lt;=AD38,(D39-F39-G39-H39-I39-J39-K39-L39-M39-N39-O39),AD38)),0)</f>
        <v>0</v>
      </c>
      <c r="Q39" s="81">
        <f t="shared" ref="Q39:Q55" si="21">IF((IF((D39-F39-G39-H39-I39-J39-K39-L39-M39-N39-O39-P39)&lt;=AE38,(D39-F39-G39-H39-I39-J39-K39-L39-M39-N39-O39-P39),AE38))&gt;0,(IF((D39-F39-G39-H39-I39-J39-K39-L39-M39-N39-O39-P39)&lt;=AE38,(D39-F39-G39-H39-I39-J39-K39-L39-M39-N39-O39-P39),AE38)),0)</f>
        <v>0</v>
      </c>
      <c r="R39" s="81">
        <f t="shared" ref="R39:R54" si="22">IF((IF((D39-F39-G39-H39-I39-J39-K39-L39-M39-N39-O39-P39-Q39)&lt;=AF38,(D39-F39-G39-H39-I39-J39-K39-L39-M39-N39-O39-P39-Q39),AF38))&gt;0,(IF((D39-F39-G39-H39-I39-J39-K39-L39-M39-N39-O39-P39-Q39)&lt;=AF38,(D39-F39-G39-H39-I39-J39-K39-L39-M39-N39-O39-P39-Q39),AF38)),0)</f>
        <v>0</v>
      </c>
      <c r="S39" s="82">
        <f t="shared" ref="S39:S54" si="23">IF((IF((D39-F39-G39-H39-I39-J39-K39-L39-M39-N39-O39-P39-Q39-R39)&lt;=AG38,(D39-F39-G39-H39-I39-J39-K39-L39-M39-N39-O39-P39-Q39-R39),AG38))&gt;0,(IF((D39-F39-G39-H39-I39-J39-K39-L39-M39-N39-O39-P39-Q39-R39)&lt;=AG38,(D39-F39-G39-H39-I39-J39-K39-L39-M39-N39-O39-P39-Q39-R39),AG38)),0)</f>
        <v>0</v>
      </c>
      <c r="T39" s="85">
        <f t="shared" si="13"/>
        <v>0</v>
      </c>
      <c r="U39" s="86">
        <f t="shared" si="13"/>
        <v>100000</v>
      </c>
      <c r="V39" s="86">
        <f t="shared" si="13"/>
        <v>500000</v>
      </c>
      <c r="W39" s="86">
        <f t="shared" si="13"/>
        <v>500000</v>
      </c>
      <c r="X39" s="86">
        <f t="shared" si="13"/>
        <v>500000</v>
      </c>
      <c r="Y39" s="86">
        <f t="shared" si="13"/>
        <v>500000</v>
      </c>
      <c r="Z39" s="80">
        <f t="shared" si="13"/>
        <v>500000</v>
      </c>
      <c r="AA39" s="80">
        <f t="shared" si="13"/>
        <v>500000</v>
      </c>
      <c r="AB39" s="80">
        <f t="shared" si="13"/>
        <v>500000</v>
      </c>
      <c r="AC39" s="80">
        <f t="shared" ref="AC39" si="24">AC38-O39</f>
        <v>500000</v>
      </c>
      <c r="AD39" s="80">
        <f t="shared" ref="AD39" si="25">AD38-P39</f>
        <v>500000</v>
      </c>
      <c r="AE39" s="80">
        <f t="shared" ref="AE39" si="26">AE38-Q39</f>
        <v>500000</v>
      </c>
      <c r="AF39" s="80">
        <f t="shared" ref="AF39" si="27">AF38-R39</f>
        <v>500000</v>
      </c>
      <c r="AG39" s="84">
        <f>AG38-S39</f>
        <v>500000</v>
      </c>
    </row>
    <row r="40" spans="1:33" s="1" customFormat="1" x14ac:dyDescent="0.25">
      <c r="A40" s="77">
        <f t="shared" si="15"/>
        <v>2750000</v>
      </c>
      <c r="B40" s="44" t="s">
        <v>23</v>
      </c>
      <c r="C40" s="3">
        <v>450000</v>
      </c>
      <c r="D40" s="52">
        <f t="shared" si="16"/>
        <v>450000</v>
      </c>
      <c r="E40" s="79">
        <f t="shared" si="6"/>
        <v>0.16363636363636364</v>
      </c>
      <c r="F40" s="52">
        <f t="shared" si="7"/>
        <v>0</v>
      </c>
      <c r="G40" s="52">
        <f t="shared" si="8"/>
        <v>100000</v>
      </c>
      <c r="H40" s="52">
        <f t="shared" si="9"/>
        <v>350000</v>
      </c>
      <c r="I40" s="52">
        <f t="shared" si="10"/>
        <v>0</v>
      </c>
      <c r="J40" s="52">
        <f t="shared" si="11"/>
        <v>0</v>
      </c>
      <c r="K40" s="82">
        <f t="shared" si="12"/>
        <v>0</v>
      </c>
      <c r="L40" s="81">
        <f t="shared" ref="L40:L54" si="28">IF((IF((D40-F40-G40-H40-I40-J40-K40)&lt;=Z39,(D40-F40-G40-H40-I40-J40-K40),Z39))&gt;0,(IF((D40-F40-G40-H40-I40-J40-K40)&lt;=Z39,(D40-F40-G40-H40-I40-J40-K40),Z39)),0)</f>
        <v>0</v>
      </c>
      <c r="M40" s="81">
        <f t="shared" si="17"/>
        <v>0</v>
      </c>
      <c r="N40" s="81">
        <f t="shared" si="18"/>
        <v>0</v>
      </c>
      <c r="O40" s="81">
        <f t="shared" si="19"/>
        <v>0</v>
      </c>
      <c r="P40" s="81">
        <f t="shared" si="20"/>
        <v>0</v>
      </c>
      <c r="Q40" s="81">
        <f t="shared" si="21"/>
        <v>0</v>
      </c>
      <c r="R40" s="81">
        <f t="shared" si="22"/>
        <v>0</v>
      </c>
      <c r="S40" s="82">
        <f t="shared" si="23"/>
        <v>0</v>
      </c>
      <c r="T40" s="85">
        <f t="shared" ref="T40:T55" si="29">T39-F40</f>
        <v>0</v>
      </c>
      <c r="U40" s="86">
        <f t="shared" ref="U40:U55" si="30">U39-G40</f>
        <v>0</v>
      </c>
      <c r="V40" s="86">
        <f t="shared" ref="V40:V55" si="31">V39-H40</f>
        <v>150000</v>
      </c>
      <c r="W40" s="86">
        <f t="shared" ref="W40:W55" si="32">W39-I40</f>
        <v>500000</v>
      </c>
      <c r="X40" s="86">
        <f t="shared" ref="X40:X55" si="33">X39-J40</f>
        <v>500000</v>
      </c>
      <c r="Y40" s="86">
        <f t="shared" ref="Y40:Y55" si="34">Y39-K40</f>
        <v>500000</v>
      </c>
      <c r="Z40" s="80">
        <f t="shared" ref="Z40:Z55" si="35">Z39-L40</f>
        <v>500000</v>
      </c>
      <c r="AA40" s="80">
        <f t="shared" ref="AA40:AA55" si="36">AA39-M40</f>
        <v>500000</v>
      </c>
      <c r="AB40" s="80">
        <f t="shared" ref="AB40:AB55" si="37">AB39-N40</f>
        <v>500000</v>
      </c>
      <c r="AC40" s="80">
        <f t="shared" ref="AC40:AC55" si="38">AC39-O40</f>
        <v>500000</v>
      </c>
      <c r="AD40" s="80">
        <f t="shared" ref="AD40:AD55" si="39">AD39-P40</f>
        <v>500000</v>
      </c>
      <c r="AE40" s="80">
        <f t="shared" ref="AE40:AE55" si="40">AE39-Q40</f>
        <v>500000</v>
      </c>
      <c r="AF40" s="80">
        <f t="shared" ref="AF40:AF55" si="41">AF39-R40</f>
        <v>500000</v>
      </c>
      <c r="AG40" s="84">
        <f t="shared" ref="AG40:AG55" si="42">AG39-S40</f>
        <v>500000</v>
      </c>
    </row>
    <row r="41" spans="1:33" s="1" customFormat="1" x14ac:dyDescent="0.25">
      <c r="A41" s="77">
        <f t="shared" si="15"/>
        <v>1375000</v>
      </c>
      <c r="B41" s="44" t="s">
        <v>24</v>
      </c>
      <c r="C41" s="3">
        <v>400000</v>
      </c>
      <c r="D41" s="52">
        <f t="shared" si="16"/>
        <v>400000</v>
      </c>
      <c r="E41" s="79">
        <f t="shared" si="6"/>
        <v>0.29090909090909089</v>
      </c>
      <c r="F41" s="52">
        <f t="shared" si="7"/>
        <v>0</v>
      </c>
      <c r="G41" s="52">
        <f t="shared" si="8"/>
        <v>0</v>
      </c>
      <c r="H41" s="52">
        <f t="shared" si="9"/>
        <v>150000</v>
      </c>
      <c r="I41" s="52">
        <f t="shared" si="10"/>
        <v>250000</v>
      </c>
      <c r="J41" s="52">
        <f t="shared" si="11"/>
        <v>0</v>
      </c>
      <c r="K41" s="82">
        <f t="shared" si="12"/>
        <v>0</v>
      </c>
      <c r="L41" s="81">
        <f t="shared" si="28"/>
        <v>0</v>
      </c>
      <c r="M41" s="81">
        <f t="shared" si="17"/>
        <v>0</v>
      </c>
      <c r="N41" s="81">
        <f t="shared" si="18"/>
        <v>0</v>
      </c>
      <c r="O41" s="81">
        <f t="shared" si="19"/>
        <v>0</v>
      </c>
      <c r="P41" s="81">
        <f t="shared" si="20"/>
        <v>0</v>
      </c>
      <c r="Q41" s="81">
        <f t="shared" si="21"/>
        <v>0</v>
      </c>
      <c r="R41" s="81">
        <f t="shared" si="22"/>
        <v>0</v>
      </c>
      <c r="S41" s="82">
        <f t="shared" si="23"/>
        <v>0</v>
      </c>
      <c r="T41" s="85">
        <f t="shared" si="29"/>
        <v>0</v>
      </c>
      <c r="U41" s="86">
        <f t="shared" si="30"/>
        <v>0</v>
      </c>
      <c r="V41" s="86">
        <f t="shared" si="31"/>
        <v>0</v>
      </c>
      <c r="W41" s="86">
        <f t="shared" si="32"/>
        <v>250000</v>
      </c>
      <c r="X41" s="86">
        <f t="shared" si="33"/>
        <v>500000</v>
      </c>
      <c r="Y41" s="86">
        <f t="shared" si="34"/>
        <v>500000</v>
      </c>
      <c r="Z41" s="80">
        <f t="shared" si="35"/>
        <v>500000</v>
      </c>
      <c r="AA41" s="80">
        <f t="shared" si="36"/>
        <v>500000</v>
      </c>
      <c r="AB41" s="80">
        <f t="shared" si="37"/>
        <v>500000</v>
      </c>
      <c r="AC41" s="80">
        <f t="shared" si="38"/>
        <v>500000</v>
      </c>
      <c r="AD41" s="80">
        <f t="shared" si="39"/>
        <v>500000</v>
      </c>
      <c r="AE41" s="80">
        <f t="shared" si="40"/>
        <v>500000</v>
      </c>
      <c r="AF41" s="80">
        <f t="shared" si="41"/>
        <v>500000</v>
      </c>
      <c r="AG41" s="84">
        <f t="shared" si="42"/>
        <v>500000</v>
      </c>
    </row>
    <row r="42" spans="1:33" s="1" customFormat="1" x14ac:dyDescent="0.25">
      <c r="A42" s="77">
        <f t="shared" si="15"/>
        <v>1125000</v>
      </c>
      <c r="B42" s="44" t="s">
        <v>25</v>
      </c>
      <c r="C42" s="3">
        <v>500000</v>
      </c>
      <c r="D42" s="52">
        <f t="shared" si="16"/>
        <v>500000</v>
      </c>
      <c r="E42" s="79">
        <f t="shared" si="6"/>
        <v>0.44444444444444442</v>
      </c>
      <c r="F42" s="52">
        <f t="shared" si="7"/>
        <v>0</v>
      </c>
      <c r="G42" s="52">
        <f t="shared" si="8"/>
        <v>0</v>
      </c>
      <c r="H42" s="52">
        <f t="shared" si="9"/>
        <v>0</v>
      </c>
      <c r="I42" s="52">
        <f t="shared" si="10"/>
        <v>250000</v>
      </c>
      <c r="J42" s="52">
        <f t="shared" si="11"/>
        <v>250000</v>
      </c>
      <c r="K42" s="82">
        <f t="shared" si="12"/>
        <v>0</v>
      </c>
      <c r="L42" s="81">
        <f t="shared" si="28"/>
        <v>0</v>
      </c>
      <c r="M42" s="81">
        <f t="shared" si="17"/>
        <v>0</v>
      </c>
      <c r="N42" s="81">
        <f t="shared" si="18"/>
        <v>0</v>
      </c>
      <c r="O42" s="81">
        <f t="shared" si="19"/>
        <v>0</v>
      </c>
      <c r="P42" s="81">
        <f t="shared" si="20"/>
        <v>0</v>
      </c>
      <c r="Q42" s="81">
        <f t="shared" si="21"/>
        <v>0</v>
      </c>
      <c r="R42" s="81">
        <f t="shared" si="22"/>
        <v>0</v>
      </c>
      <c r="S42" s="82">
        <f t="shared" si="23"/>
        <v>0</v>
      </c>
      <c r="T42" s="85">
        <f t="shared" si="29"/>
        <v>0</v>
      </c>
      <c r="U42" s="86">
        <f t="shared" si="30"/>
        <v>0</v>
      </c>
      <c r="V42" s="86">
        <f t="shared" si="31"/>
        <v>0</v>
      </c>
      <c r="W42" s="86">
        <f t="shared" si="32"/>
        <v>0</v>
      </c>
      <c r="X42" s="86">
        <f t="shared" si="33"/>
        <v>250000</v>
      </c>
      <c r="Y42" s="86">
        <f t="shared" si="34"/>
        <v>500000</v>
      </c>
      <c r="Z42" s="80">
        <f t="shared" si="35"/>
        <v>500000</v>
      </c>
      <c r="AA42" s="80">
        <f t="shared" si="36"/>
        <v>500000</v>
      </c>
      <c r="AB42" s="80">
        <f t="shared" si="37"/>
        <v>500000</v>
      </c>
      <c r="AC42" s="80">
        <f t="shared" si="38"/>
        <v>500000</v>
      </c>
      <c r="AD42" s="80">
        <f t="shared" si="39"/>
        <v>500000</v>
      </c>
      <c r="AE42" s="80">
        <f t="shared" si="40"/>
        <v>500000</v>
      </c>
      <c r="AF42" s="80">
        <f t="shared" si="41"/>
        <v>500000</v>
      </c>
      <c r="AG42" s="84">
        <f t="shared" si="42"/>
        <v>500000</v>
      </c>
    </row>
    <row r="43" spans="1:33" s="1" customFormat="1" x14ac:dyDescent="0.25">
      <c r="A43" s="77">
        <f t="shared" si="15"/>
        <v>812500</v>
      </c>
      <c r="B43" s="44" t="s">
        <v>26</v>
      </c>
      <c r="C43" s="3">
        <v>500000</v>
      </c>
      <c r="D43" s="52">
        <f t="shared" si="16"/>
        <v>500000</v>
      </c>
      <c r="E43" s="79">
        <f t="shared" si="6"/>
        <v>0.61538461538461542</v>
      </c>
      <c r="F43" s="52">
        <f t="shared" si="7"/>
        <v>0</v>
      </c>
      <c r="G43" s="52">
        <f t="shared" si="8"/>
        <v>0</v>
      </c>
      <c r="H43" s="52">
        <f t="shared" si="9"/>
        <v>0</v>
      </c>
      <c r="I43" s="52">
        <f t="shared" si="10"/>
        <v>0</v>
      </c>
      <c r="J43" s="52">
        <f t="shared" si="11"/>
        <v>250000</v>
      </c>
      <c r="K43" s="82">
        <f t="shared" si="12"/>
        <v>250000</v>
      </c>
      <c r="L43" s="81">
        <f t="shared" si="28"/>
        <v>0</v>
      </c>
      <c r="M43" s="81">
        <f t="shared" si="17"/>
        <v>0</v>
      </c>
      <c r="N43" s="81">
        <f t="shared" si="18"/>
        <v>0</v>
      </c>
      <c r="O43" s="81">
        <f t="shared" si="19"/>
        <v>0</v>
      </c>
      <c r="P43" s="81">
        <f t="shared" si="20"/>
        <v>0</v>
      </c>
      <c r="Q43" s="81">
        <f t="shared" si="21"/>
        <v>0</v>
      </c>
      <c r="R43" s="81">
        <f t="shared" si="22"/>
        <v>0</v>
      </c>
      <c r="S43" s="82">
        <f t="shared" si="23"/>
        <v>0</v>
      </c>
      <c r="T43" s="85">
        <f t="shared" si="29"/>
        <v>0</v>
      </c>
      <c r="U43" s="86">
        <f t="shared" si="30"/>
        <v>0</v>
      </c>
      <c r="V43" s="86">
        <f t="shared" si="31"/>
        <v>0</v>
      </c>
      <c r="W43" s="87">
        <f t="shared" si="32"/>
        <v>0</v>
      </c>
      <c r="X43" s="86">
        <f t="shared" si="33"/>
        <v>0</v>
      </c>
      <c r="Y43" s="86">
        <f t="shared" si="34"/>
        <v>250000</v>
      </c>
      <c r="Z43" s="80">
        <f t="shared" si="35"/>
        <v>500000</v>
      </c>
      <c r="AA43" s="80">
        <f t="shared" si="36"/>
        <v>500000</v>
      </c>
      <c r="AB43" s="80">
        <f t="shared" si="37"/>
        <v>500000</v>
      </c>
      <c r="AC43" s="80">
        <f t="shared" si="38"/>
        <v>500000</v>
      </c>
      <c r="AD43" s="80">
        <f t="shared" si="39"/>
        <v>500000</v>
      </c>
      <c r="AE43" s="80">
        <f t="shared" si="40"/>
        <v>500000</v>
      </c>
      <c r="AF43" s="80">
        <f t="shared" si="41"/>
        <v>500000</v>
      </c>
      <c r="AG43" s="84">
        <f t="shared" si="42"/>
        <v>500000</v>
      </c>
    </row>
    <row r="44" spans="1:33" s="1" customFormat="1" x14ac:dyDescent="0.25">
      <c r="A44" s="77">
        <f t="shared" si="15"/>
        <v>534722.22222222225</v>
      </c>
      <c r="B44" s="44" t="s">
        <v>27</v>
      </c>
      <c r="C44" s="3">
        <v>450000</v>
      </c>
      <c r="D44" s="52">
        <f t="shared" si="16"/>
        <v>450000</v>
      </c>
      <c r="E44" s="79">
        <f t="shared" si="6"/>
        <v>0.84155844155844151</v>
      </c>
      <c r="F44" s="52">
        <f t="shared" si="7"/>
        <v>0</v>
      </c>
      <c r="G44" s="52">
        <f t="shared" si="8"/>
        <v>0</v>
      </c>
      <c r="H44" s="52">
        <f t="shared" si="9"/>
        <v>0</v>
      </c>
      <c r="I44" s="52">
        <f t="shared" si="10"/>
        <v>0</v>
      </c>
      <c r="J44" s="52">
        <f t="shared" si="11"/>
        <v>0</v>
      </c>
      <c r="K44" s="82">
        <f t="shared" si="12"/>
        <v>250000</v>
      </c>
      <c r="L44" s="81">
        <f t="shared" si="28"/>
        <v>200000</v>
      </c>
      <c r="M44" s="81">
        <f t="shared" si="17"/>
        <v>0</v>
      </c>
      <c r="N44" s="81">
        <f t="shared" si="18"/>
        <v>0</v>
      </c>
      <c r="O44" s="81">
        <f t="shared" si="19"/>
        <v>0</v>
      </c>
      <c r="P44" s="81">
        <f t="shared" si="20"/>
        <v>0</v>
      </c>
      <c r="Q44" s="81">
        <f t="shared" si="21"/>
        <v>0</v>
      </c>
      <c r="R44" s="81">
        <f t="shared" si="22"/>
        <v>0</v>
      </c>
      <c r="S44" s="82">
        <f t="shared" si="23"/>
        <v>0</v>
      </c>
      <c r="T44" s="85">
        <f t="shared" si="29"/>
        <v>0</v>
      </c>
      <c r="U44" s="86">
        <f t="shared" si="30"/>
        <v>0</v>
      </c>
      <c r="V44" s="88">
        <f t="shared" si="31"/>
        <v>0</v>
      </c>
      <c r="W44" s="52">
        <f t="shared" si="32"/>
        <v>0</v>
      </c>
      <c r="X44" s="86">
        <f t="shared" si="33"/>
        <v>0</v>
      </c>
      <c r="Y44" s="86">
        <f t="shared" si="34"/>
        <v>0</v>
      </c>
      <c r="Z44" s="80">
        <f t="shared" si="35"/>
        <v>300000</v>
      </c>
      <c r="AA44" s="80">
        <f t="shared" si="36"/>
        <v>500000</v>
      </c>
      <c r="AB44" s="80">
        <f t="shared" si="37"/>
        <v>500000</v>
      </c>
      <c r="AC44" s="80">
        <f t="shared" si="38"/>
        <v>500000</v>
      </c>
      <c r="AD44" s="80">
        <f t="shared" si="39"/>
        <v>500000</v>
      </c>
      <c r="AE44" s="80">
        <f t="shared" si="40"/>
        <v>500000</v>
      </c>
      <c r="AF44" s="80">
        <f t="shared" si="41"/>
        <v>500000</v>
      </c>
      <c r="AG44" s="84">
        <f t="shared" si="42"/>
        <v>500000</v>
      </c>
    </row>
    <row r="45" spans="1:33" s="1" customFormat="1" x14ac:dyDescent="0.25">
      <c r="A45" s="77">
        <f t="shared" si="15"/>
        <v>433333.33333333331</v>
      </c>
      <c r="B45" s="44" t="s">
        <v>28</v>
      </c>
      <c r="C45" s="3">
        <v>400000</v>
      </c>
      <c r="D45" s="52">
        <f t="shared" si="16"/>
        <v>400000</v>
      </c>
      <c r="E45" s="79">
        <f t="shared" si="6"/>
        <v>0.92307692307692313</v>
      </c>
      <c r="F45" s="52">
        <f t="shared" si="7"/>
        <v>0</v>
      </c>
      <c r="G45" s="52">
        <f t="shared" si="8"/>
        <v>0</v>
      </c>
      <c r="H45" s="52">
        <f t="shared" si="9"/>
        <v>0</v>
      </c>
      <c r="I45" s="52">
        <f t="shared" si="10"/>
        <v>0</v>
      </c>
      <c r="J45" s="52">
        <f t="shared" si="11"/>
        <v>0</v>
      </c>
      <c r="K45" s="82">
        <f t="shared" si="12"/>
        <v>0</v>
      </c>
      <c r="L45" s="81">
        <f t="shared" si="28"/>
        <v>300000</v>
      </c>
      <c r="M45" s="81">
        <f t="shared" si="17"/>
        <v>100000</v>
      </c>
      <c r="N45" s="81">
        <f t="shared" si="18"/>
        <v>0</v>
      </c>
      <c r="O45" s="81">
        <f t="shared" si="19"/>
        <v>0</v>
      </c>
      <c r="P45" s="81">
        <f t="shared" si="20"/>
        <v>0</v>
      </c>
      <c r="Q45" s="81">
        <f t="shared" si="21"/>
        <v>0</v>
      </c>
      <c r="R45" s="81">
        <f t="shared" si="22"/>
        <v>0</v>
      </c>
      <c r="S45" s="82">
        <f t="shared" si="23"/>
        <v>0</v>
      </c>
      <c r="T45" s="85">
        <f t="shared" si="29"/>
        <v>0</v>
      </c>
      <c r="U45" s="86">
        <f t="shared" si="30"/>
        <v>0</v>
      </c>
      <c r="V45" s="88">
        <f t="shared" si="31"/>
        <v>0</v>
      </c>
      <c r="W45" s="52">
        <f t="shared" si="32"/>
        <v>0</v>
      </c>
      <c r="X45" s="86">
        <f t="shared" si="33"/>
        <v>0</v>
      </c>
      <c r="Y45" s="86">
        <f t="shared" si="34"/>
        <v>0</v>
      </c>
      <c r="Z45" s="80">
        <f t="shared" si="35"/>
        <v>0</v>
      </c>
      <c r="AA45" s="80">
        <f t="shared" si="36"/>
        <v>400000</v>
      </c>
      <c r="AB45" s="80">
        <f t="shared" si="37"/>
        <v>500000</v>
      </c>
      <c r="AC45" s="80">
        <f t="shared" si="38"/>
        <v>500000</v>
      </c>
      <c r="AD45" s="80">
        <f t="shared" si="39"/>
        <v>500000</v>
      </c>
      <c r="AE45" s="80">
        <f t="shared" si="40"/>
        <v>500000</v>
      </c>
      <c r="AF45" s="80">
        <f t="shared" si="41"/>
        <v>500000</v>
      </c>
      <c r="AG45" s="84">
        <f t="shared" si="42"/>
        <v>500000</v>
      </c>
    </row>
    <row r="46" spans="1:33" s="1" customFormat="1" x14ac:dyDescent="0.25">
      <c r="A46" s="77">
        <f t="shared" si="15"/>
        <v>400000</v>
      </c>
      <c r="B46" s="44" t="s">
        <v>29</v>
      </c>
      <c r="C46" s="3">
        <v>400000</v>
      </c>
      <c r="D46" s="52">
        <f t="shared" si="16"/>
        <v>400000</v>
      </c>
      <c r="E46" s="79">
        <f t="shared" si="6"/>
        <v>1</v>
      </c>
      <c r="F46" s="52">
        <f t="shared" si="7"/>
        <v>0</v>
      </c>
      <c r="G46" s="52">
        <f t="shared" si="8"/>
        <v>0</v>
      </c>
      <c r="H46" s="52">
        <f t="shared" si="9"/>
        <v>0</v>
      </c>
      <c r="I46" s="52">
        <f t="shared" si="10"/>
        <v>0</v>
      </c>
      <c r="J46" s="52">
        <f t="shared" si="11"/>
        <v>0</v>
      </c>
      <c r="K46" s="82">
        <f t="shared" si="12"/>
        <v>0</v>
      </c>
      <c r="L46" s="81">
        <f t="shared" si="28"/>
        <v>0</v>
      </c>
      <c r="M46" s="81">
        <f t="shared" si="17"/>
        <v>400000</v>
      </c>
      <c r="N46" s="81">
        <f t="shared" si="18"/>
        <v>0</v>
      </c>
      <c r="O46" s="81">
        <f t="shared" si="19"/>
        <v>0</v>
      </c>
      <c r="P46" s="81">
        <f t="shared" si="20"/>
        <v>0</v>
      </c>
      <c r="Q46" s="81">
        <f t="shared" si="21"/>
        <v>0</v>
      </c>
      <c r="R46" s="81">
        <f t="shared" si="22"/>
        <v>0</v>
      </c>
      <c r="S46" s="82">
        <f t="shared" si="23"/>
        <v>0</v>
      </c>
      <c r="T46" s="85">
        <f t="shared" si="29"/>
        <v>0</v>
      </c>
      <c r="U46" s="86">
        <f t="shared" si="30"/>
        <v>0</v>
      </c>
      <c r="V46" s="88">
        <f t="shared" si="31"/>
        <v>0</v>
      </c>
      <c r="W46" s="52">
        <f t="shared" si="32"/>
        <v>0</v>
      </c>
      <c r="X46" s="86">
        <f t="shared" si="33"/>
        <v>0</v>
      </c>
      <c r="Y46" s="86">
        <f t="shared" si="34"/>
        <v>0</v>
      </c>
      <c r="Z46" s="80">
        <f t="shared" si="35"/>
        <v>0</v>
      </c>
      <c r="AA46" s="80">
        <f t="shared" si="36"/>
        <v>0</v>
      </c>
      <c r="AB46" s="80">
        <f t="shared" si="37"/>
        <v>500000</v>
      </c>
      <c r="AC46" s="80">
        <f t="shared" si="38"/>
        <v>500000</v>
      </c>
      <c r="AD46" s="80">
        <f t="shared" si="39"/>
        <v>500000</v>
      </c>
      <c r="AE46" s="80">
        <f t="shared" si="40"/>
        <v>500000</v>
      </c>
      <c r="AF46" s="80">
        <f t="shared" si="41"/>
        <v>500000</v>
      </c>
      <c r="AG46" s="84">
        <f t="shared" si="42"/>
        <v>500000</v>
      </c>
    </row>
    <row r="47" spans="1:33" x14ac:dyDescent="0.25">
      <c r="A47" s="77">
        <f t="shared" si="15"/>
        <v>363636.36363636359</v>
      </c>
      <c r="B47" s="44" t="s">
        <v>31</v>
      </c>
      <c r="C47" s="3">
        <v>400000</v>
      </c>
      <c r="D47" s="52">
        <f t="shared" si="16"/>
        <v>400000</v>
      </c>
      <c r="E47" s="79">
        <f t="shared" si="6"/>
        <v>1.1000000000000001</v>
      </c>
      <c r="F47" s="52">
        <f t="shared" si="7"/>
        <v>0</v>
      </c>
      <c r="G47" s="52">
        <f t="shared" si="8"/>
        <v>0</v>
      </c>
      <c r="H47" s="52">
        <f t="shared" si="9"/>
        <v>0</v>
      </c>
      <c r="I47" s="52">
        <f t="shared" si="10"/>
        <v>0</v>
      </c>
      <c r="J47" s="52">
        <f t="shared" si="11"/>
        <v>0</v>
      </c>
      <c r="K47" s="82">
        <f t="shared" si="12"/>
        <v>0</v>
      </c>
      <c r="L47" s="81">
        <f t="shared" si="28"/>
        <v>0</v>
      </c>
      <c r="M47" s="81">
        <f t="shared" si="17"/>
        <v>0</v>
      </c>
      <c r="N47" s="81">
        <f t="shared" si="18"/>
        <v>400000</v>
      </c>
      <c r="O47" s="81">
        <f t="shared" si="19"/>
        <v>0</v>
      </c>
      <c r="P47" s="81">
        <f t="shared" si="20"/>
        <v>0</v>
      </c>
      <c r="Q47" s="81">
        <f t="shared" si="21"/>
        <v>0</v>
      </c>
      <c r="R47" s="81">
        <f t="shared" si="22"/>
        <v>0</v>
      </c>
      <c r="S47" s="82">
        <f t="shared" si="23"/>
        <v>0</v>
      </c>
      <c r="T47" s="85">
        <f t="shared" si="29"/>
        <v>0</v>
      </c>
      <c r="U47" s="86">
        <f t="shared" si="30"/>
        <v>0</v>
      </c>
      <c r="V47" s="88">
        <f t="shared" si="31"/>
        <v>0</v>
      </c>
      <c r="W47" s="52">
        <f t="shared" si="32"/>
        <v>0</v>
      </c>
      <c r="X47" s="86">
        <f t="shared" si="33"/>
        <v>0</v>
      </c>
      <c r="Y47" s="86">
        <f t="shared" si="34"/>
        <v>0</v>
      </c>
      <c r="Z47" s="80">
        <f t="shared" si="35"/>
        <v>0</v>
      </c>
      <c r="AA47" s="80">
        <f t="shared" si="36"/>
        <v>0</v>
      </c>
      <c r="AB47" s="80">
        <f t="shared" si="37"/>
        <v>100000</v>
      </c>
      <c r="AC47" s="80">
        <f t="shared" si="38"/>
        <v>500000</v>
      </c>
      <c r="AD47" s="80">
        <f t="shared" si="39"/>
        <v>500000</v>
      </c>
      <c r="AE47" s="80">
        <f t="shared" si="40"/>
        <v>500000</v>
      </c>
      <c r="AF47" s="80">
        <f t="shared" si="41"/>
        <v>500000</v>
      </c>
      <c r="AG47" s="84">
        <f t="shared" si="42"/>
        <v>500000</v>
      </c>
    </row>
    <row r="48" spans="1:33" x14ac:dyDescent="0.25">
      <c r="A48" s="77">
        <f t="shared" si="15"/>
        <v>340909.09090909088</v>
      </c>
      <c r="B48" s="44" t="s">
        <v>32</v>
      </c>
      <c r="C48" s="3">
        <v>400000</v>
      </c>
      <c r="D48" s="52">
        <f t="shared" si="16"/>
        <v>400000</v>
      </c>
      <c r="E48" s="79">
        <f t="shared" si="6"/>
        <v>1.1733333333333333</v>
      </c>
      <c r="F48" s="52">
        <f t="shared" si="7"/>
        <v>0</v>
      </c>
      <c r="G48" s="52">
        <f t="shared" si="8"/>
        <v>0</v>
      </c>
      <c r="H48" s="52">
        <f t="shared" si="9"/>
        <v>0</v>
      </c>
      <c r="I48" s="52">
        <f t="shared" si="10"/>
        <v>0</v>
      </c>
      <c r="J48" s="52">
        <f t="shared" si="11"/>
        <v>0</v>
      </c>
      <c r="K48" s="82">
        <f t="shared" si="12"/>
        <v>0</v>
      </c>
      <c r="L48" s="81">
        <f t="shared" si="28"/>
        <v>0</v>
      </c>
      <c r="M48" s="81">
        <f t="shared" si="17"/>
        <v>0</v>
      </c>
      <c r="N48" s="81">
        <f t="shared" si="18"/>
        <v>100000</v>
      </c>
      <c r="O48" s="81">
        <f t="shared" si="19"/>
        <v>300000</v>
      </c>
      <c r="P48" s="81">
        <f t="shared" si="20"/>
        <v>0</v>
      </c>
      <c r="Q48" s="81">
        <f t="shared" si="21"/>
        <v>0</v>
      </c>
      <c r="R48" s="81">
        <f t="shared" si="22"/>
        <v>0</v>
      </c>
      <c r="S48" s="82">
        <f t="shared" si="23"/>
        <v>0</v>
      </c>
      <c r="T48" s="85">
        <f t="shared" si="29"/>
        <v>0</v>
      </c>
      <c r="U48" s="86">
        <f t="shared" si="30"/>
        <v>0</v>
      </c>
      <c r="V48" s="88">
        <f t="shared" si="31"/>
        <v>0</v>
      </c>
      <c r="W48" s="52">
        <f t="shared" si="32"/>
        <v>0</v>
      </c>
      <c r="X48" s="86">
        <f t="shared" si="33"/>
        <v>0</v>
      </c>
      <c r="Y48" s="86">
        <f t="shared" si="34"/>
        <v>0</v>
      </c>
      <c r="Z48" s="80">
        <f t="shared" si="35"/>
        <v>0</v>
      </c>
      <c r="AA48" s="80">
        <f t="shared" si="36"/>
        <v>0</v>
      </c>
      <c r="AB48" s="80">
        <f t="shared" si="37"/>
        <v>0</v>
      </c>
      <c r="AC48" s="80">
        <f t="shared" si="38"/>
        <v>200000</v>
      </c>
      <c r="AD48" s="80">
        <f t="shared" si="39"/>
        <v>500000</v>
      </c>
      <c r="AE48" s="80">
        <f t="shared" si="40"/>
        <v>500000</v>
      </c>
      <c r="AF48" s="80">
        <f t="shared" si="41"/>
        <v>500000</v>
      </c>
      <c r="AG48" s="84">
        <f t="shared" si="42"/>
        <v>500000</v>
      </c>
    </row>
    <row r="49" spans="1:33" x14ac:dyDescent="0.25">
      <c r="A49" s="77">
        <f t="shared" si="15"/>
        <v>320512.82051282044</v>
      </c>
      <c r="B49" s="44" t="s">
        <v>33</v>
      </c>
      <c r="C49" s="3">
        <v>400000</v>
      </c>
      <c r="D49" s="52">
        <f t="shared" si="16"/>
        <v>400000</v>
      </c>
      <c r="E49" s="79">
        <f t="shared" si="6"/>
        <v>1.2480000000000002</v>
      </c>
      <c r="F49" s="52">
        <f t="shared" si="7"/>
        <v>0</v>
      </c>
      <c r="G49" s="52">
        <f t="shared" si="8"/>
        <v>0</v>
      </c>
      <c r="H49" s="52">
        <f t="shared" si="9"/>
        <v>0</v>
      </c>
      <c r="I49" s="52">
        <f t="shared" si="10"/>
        <v>0</v>
      </c>
      <c r="J49" s="52">
        <f t="shared" si="11"/>
        <v>0</v>
      </c>
      <c r="K49" s="82">
        <f t="shared" si="12"/>
        <v>0</v>
      </c>
      <c r="L49" s="81">
        <f t="shared" si="28"/>
        <v>0</v>
      </c>
      <c r="M49" s="81">
        <f t="shared" si="17"/>
        <v>0</v>
      </c>
      <c r="N49" s="81">
        <f t="shared" si="18"/>
        <v>0</v>
      </c>
      <c r="O49" s="81">
        <f t="shared" si="19"/>
        <v>200000</v>
      </c>
      <c r="P49" s="81">
        <f t="shared" si="20"/>
        <v>200000</v>
      </c>
      <c r="Q49" s="81">
        <f t="shared" si="21"/>
        <v>0</v>
      </c>
      <c r="R49" s="81">
        <f t="shared" si="22"/>
        <v>0</v>
      </c>
      <c r="S49" s="82">
        <f t="shared" si="23"/>
        <v>0</v>
      </c>
      <c r="T49" s="85">
        <f t="shared" si="29"/>
        <v>0</v>
      </c>
      <c r="U49" s="86">
        <f t="shared" si="30"/>
        <v>0</v>
      </c>
      <c r="V49" s="86">
        <f t="shared" si="31"/>
        <v>0</v>
      </c>
      <c r="W49" s="89">
        <f t="shared" si="32"/>
        <v>0</v>
      </c>
      <c r="X49" s="86">
        <f t="shared" si="33"/>
        <v>0</v>
      </c>
      <c r="Y49" s="86">
        <f t="shared" si="34"/>
        <v>0</v>
      </c>
      <c r="Z49" s="80">
        <f t="shared" si="35"/>
        <v>0</v>
      </c>
      <c r="AA49" s="80">
        <f t="shared" si="36"/>
        <v>0</v>
      </c>
      <c r="AB49" s="80">
        <f t="shared" si="37"/>
        <v>0</v>
      </c>
      <c r="AC49" s="80">
        <f t="shared" si="38"/>
        <v>0</v>
      </c>
      <c r="AD49" s="80">
        <f t="shared" si="39"/>
        <v>300000</v>
      </c>
      <c r="AE49" s="80">
        <f t="shared" si="40"/>
        <v>500000</v>
      </c>
      <c r="AF49" s="80">
        <f t="shared" si="41"/>
        <v>500000</v>
      </c>
      <c r="AG49" s="84">
        <f t="shared" si="42"/>
        <v>500000</v>
      </c>
    </row>
    <row r="50" spans="1:33" x14ac:dyDescent="0.25">
      <c r="A50" s="77">
        <f>D50/E50</f>
        <v>230769.23076923072</v>
      </c>
      <c r="B50" s="44" t="s">
        <v>34</v>
      </c>
      <c r="C50" s="3">
        <v>300000</v>
      </c>
      <c r="D50" s="52">
        <f t="shared" si="16"/>
        <v>300000</v>
      </c>
      <c r="E50" s="79">
        <f t="shared" si="6"/>
        <v>1.3000000000000003</v>
      </c>
      <c r="F50" s="52">
        <f t="shared" si="7"/>
        <v>0</v>
      </c>
      <c r="G50" s="52">
        <f t="shared" si="8"/>
        <v>0</v>
      </c>
      <c r="H50" s="52">
        <f t="shared" si="9"/>
        <v>0</v>
      </c>
      <c r="I50" s="52">
        <f t="shared" si="10"/>
        <v>0</v>
      </c>
      <c r="J50" s="52">
        <f t="shared" si="11"/>
        <v>0</v>
      </c>
      <c r="K50" s="82">
        <f t="shared" si="12"/>
        <v>0</v>
      </c>
      <c r="L50" s="81">
        <f t="shared" si="28"/>
        <v>0</v>
      </c>
      <c r="M50" s="81">
        <f t="shared" si="17"/>
        <v>0</v>
      </c>
      <c r="N50" s="81">
        <f t="shared" si="18"/>
        <v>0</v>
      </c>
      <c r="O50" s="81">
        <f t="shared" si="19"/>
        <v>0</v>
      </c>
      <c r="P50" s="81">
        <f t="shared" si="20"/>
        <v>300000</v>
      </c>
      <c r="Q50" s="81">
        <f t="shared" si="21"/>
        <v>0</v>
      </c>
      <c r="R50" s="81">
        <f t="shared" si="22"/>
        <v>0</v>
      </c>
      <c r="S50" s="82">
        <f t="shared" si="23"/>
        <v>0</v>
      </c>
      <c r="T50" s="85">
        <f t="shared" si="29"/>
        <v>0</v>
      </c>
      <c r="U50" s="86">
        <f t="shared" si="30"/>
        <v>0</v>
      </c>
      <c r="V50" s="86">
        <f t="shared" si="31"/>
        <v>0</v>
      </c>
      <c r="W50" s="86">
        <f t="shared" si="32"/>
        <v>0</v>
      </c>
      <c r="X50" s="86">
        <f t="shared" si="33"/>
        <v>0</v>
      </c>
      <c r="Y50" s="86">
        <f t="shared" si="34"/>
        <v>0</v>
      </c>
      <c r="Z50" s="80">
        <f t="shared" si="35"/>
        <v>0</v>
      </c>
      <c r="AA50" s="80">
        <f t="shared" si="36"/>
        <v>0</v>
      </c>
      <c r="AB50" s="80">
        <f t="shared" si="37"/>
        <v>0</v>
      </c>
      <c r="AC50" s="80">
        <f t="shared" si="38"/>
        <v>0</v>
      </c>
      <c r="AD50" s="80">
        <f t="shared" si="39"/>
        <v>0</v>
      </c>
      <c r="AE50" s="80">
        <f t="shared" si="40"/>
        <v>500000</v>
      </c>
      <c r="AF50" s="80">
        <f t="shared" si="41"/>
        <v>500000</v>
      </c>
      <c r="AG50" s="84">
        <f t="shared" si="42"/>
        <v>500000</v>
      </c>
    </row>
    <row r="51" spans="1:33" x14ac:dyDescent="0.25">
      <c r="A51" s="77">
        <f t="shared" ref="A51:A55" si="43">D51/E51</f>
        <v>214285.71428571423</v>
      </c>
      <c r="B51" s="44" t="s">
        <v>35</v>
      </c>
      <c r="C51" s="3">
        <v>300000</v>
      </c>
      <c r="D51" s="52">
        <f t="shared" si="16"/>
        <v>300000</v>
      </c>
      <c r="E51" s="79">
        <f t="shared" si="6"/>
        <v>1.4000000000000004</v>
      </c>
      <c r="F51" s="52">
        <f t="shared" si="7"/>
        <v>0</v>
      </c>
      <c r="G51" s="52">
        <f t="shared" si="8"/>
        <v>0</v>
      </c>
      <c r="H51" s="52">
        <f t="shared" si="9"/>
        <v>0</v>
      </c>
      <c r="I51" s="52">
        <f t="shared" si="10"/>
        <v>0</v>
      </c>
      <c r="J51" s="52">
        <f t="shared" si="11"/>
        <v>0</v>
      </c>
      <c r="K51" s="82">
        <f t="shared" si="12"/>
        <v>0</v>
      </c>
      <c r="L51" s="81">
        <f t="shared" si="28"/>
        <v>0</v>
      </c>
      <c r="M51" s="81">
        <f t="shared" si="17"/>
        <v>0</v>
      </c>
      <c r="N51" s="81">
        <f t="shared" si="18"/>
        <v>0</v>
      </c>
      <c r="O51" s="81">
        <f t="shared" si="19"/>
        <v>0</v>
      </c>
      <c r="P51" s="81">
        <f t="shared" si="20"/>
        <v>0</v>
      </c>
      <c r="Q51" s="81">
        <f t="shared" si="21"/>
        <v>300000</v>
      </c>
      <c r="R51" s="81">
        <f t="shared" si="22"/>
        <v>0</v>
      </c>
      <c r="S51" s="82">
        <f t="shared" si="23"/>
        <v>0</v>
      </c>
      <c r="T51" s="85">
        <f t="shared" si="29"/>
        <v>0</v>
      </c>
      <c r="U51" s="86">
        <f t="shared" si="30"/>
        <v>0</v>
      </c>
      <c r="V51" s="86">
        <f t="shared" si="31"/>
        <v>0</v>
      </c>
      <c r="W51" s="86">
        <f t="shared" si="32"/>
        <v>0</v>
      </c>
      <c r="X51" s="86">
        <f t="shared" si="33"/>
        <v>0</v>
      </c>
      <c r="Y51" s="86">
        <f t="shared" si="34"/>
        <v>0</v>
      </c>
      <c r="Z51" s="80">
        <f t="shared" si="35"/>
        <v>0</v>
      </c>
      <c r="AA51" s="80">
        <f t="shared" si="36"/>
        <v>0</v>
      </c>
      <c r="AB51" s="80">
        <f t="shared" si="37"/>
        <v>0</v>
      </c>
      <c r="AC51" s="80">
        <f t="shared" si="38"/>
        <v>0</v>
      </c>
      <c r="AD51" s="80">
        <f t="shared" si="39"/>
        <v>0</v>
      </c>
      <c r="AE51" s="80">
        <f t="shared" si="40"/>
        <v>200000</v>
      </c>
      <c r="AF51" s="80">
        <f t="shared" si="41"/>
        <v>500000</v>
      </c>
      <c r="AG51" s="84">
        <f t="shared" si="42"/>
        <v>500000</v>
      </c>
    </row>
    <row r="52" spans="1:33" x14ac:dyDescent="0.25">
      <c r="A52" s="77">
        <f t="shared" si="43"/>
        <v>209523.80952380947</v>
      </c>
      <c r="B52" s="44" t="s">
        <v>36</v>
      </c>
      <c r="C52" s="3">
        <v>300000</v>
      </c>
      <c r="D52" s="52">
        <f t="shared" si="16"/>
        <v>300000</v>
      </c>
      <c r="E52" s="79">
        <f t="shared" si="6"/>
        <v>1.4318181818181821</v>
      </c>
      <c r="F52" s="52">
        <f t="shared" si="7"/>
        <v>0</v>
      </c>
      <c r="G52" s="52">
        <f t="shared" si="8"/>
        <v>0</v>
      </c>
      <c r="H52" s="52">
        <f t="shared" si="9"/>
        <v>0</v>
      </c>
      <c r="I52" s="52">
        <f t="shared" si="10"/>
        <v>0</v>
      </c>
      <c r="J52" s="52">
        <f t="shared" si="11"/>
        <v>0</v>
      </c>
      <c r="K52" s="82">
        <f t="shared" si="12"/>
        <v>0</v>
      </c>
      <c r="L52" s="81">
        <f t="shared" si="28"/>
        <v>0</v>
      </c>
      <c r="M52" s="81">
        <f t="shared" si="17"/>
        <v>0</v>
      </c>
      <c r="N52" s="81">
        <f t="shared" si="18"/>
        <v>0</v>
      </c>
      <c r="O52" s="81">
        <f t="shared" si="19"/>
        <v>0</v>
      </c>
      <c r="P52" s="81">
        <f t="shared" si="20"/>
        <v>0</v>
      </c>
      <c r="Q52" s="81">
        <f t="shared" si="21"/>
        <v>200000</v>
      </c>
      <c r="R52" s="81">
        <f t="shared" si="22"/>
        <v>100000</v>
      </c>
      <c r="S52" s="82">
        <f t="shared" si="23"/>
        <v>0</v>
      </c>
      <c r="T52" s="85">
        <f t="shared" si="29"/>
        <v>0</v>
      </c>
      <c r="U52" s="86">
        <f t="shared" si="30"/>
        <v>0</v>
      </c>
      <c r="V52" s="86">
        <f t="shared" si="31"/>
        <v>0</v>
      </c>
      <c r="W52" s="86">
        <f t="shared" si="32"/>
        <v>0</v>
      </c>
      <c r="X52" s="86">
        <f t="shared" si="33"/>
        <v>0</v>
      </c>
      <c r="Y52" s="86">
        <f t="shared" si="34"/>
        <v>0</v>
      </c>
      <c r="Z52" s="80">
        <f t="shared" si="35"/>
        <v>0</v>
      </c>
      <c r="AA52" s="80">
        <f t="shared" si="36"/>
        <v>0</v>
      </c>
      <c r="AB52" s="80">
        <f t="shared" si="37"/>
        <v>0</v>
      </c>
      <c r="AC52" s="80">
        <f t="shared" si="38"/>
        <v>0</v>
      </c>
      <c r="AD52" s="80">
        <f t="shared" si="39"/>
        <v>0</v>
      </c>
      <c r="AE52" s="80">
        <f t="shared" si="40"/>
        <v>0</v>
      </c>
      <c r="AF52" s="80">
        <f t="shared" si="41"/>
        <v>400000</v>
      </c>
      <c r="AG52" s="84">
        <f t="shared" si="42"/>
        <v>500000</v>
      </c>
    </row>
    <row r="53" spans="1:33" x14ac:dyDescent="0.25">
      <c r="A53" s="77">
        <f t="shared" si="43"/>
        <v>199999.99999999994</v>
      </c>
      <c r="B53" s="44" t="s">
        <v>37</v>
      </c>
      <c r="C53" s="3">
        <v>300000</v>
      </c>
      <c r="D53" s="52">
        <f t="shared" si="16"/>
        <v>300000</v>
      </c>
      <c r="E53" s="79">
        <f t="shared" si="6"/>
        <v>1.5000000000000004</v>
      </c>
      <c r="F53" s="52">
        <f t="shared" si="7"/>
        <v>0</v>
      </c>
      <c r="G53" s="52">
        <f t="shared" si="8"/>
        <v>0</v>
      </c>
      <c r="H53" s="52">
        <f t="shared" si="9"/>
        <v>0</v>
      </c>
      <c r="I53" s="52">
        <f t="shared" si="10"/>
        <v>0</v>
      </c>
      <c r="J53" s="52">
        <f t="shared" si="11"/>
        <v>0</v>
      </c>
      <c r="K53" s="82">
        <f t="shared" si="12"/>
        <v>0</v>
      </c>
      <c r="L53" s="81">
        <f t="shared" si="28"/>
        <v>0</v>
      </c>
      <c r="M53" s="81">
        <f t="shared" si="17"/>
        <v>0</v>
      </c>
      <c r="N53" s="81">
        <f t="shared" si="18"/>
        <v>0</v>
      </c>
      <c r="O53" s="81">
        <f t="shared" si="19"/>
        <v>0</v>
      </c>
      <c r="P53" s="81">
        <f t="shared" si="20"/>
        <v>0</v>
      </c>
      <c r="Q53" s="81">
        <f t="shared" si="21"/>
        <v>0</v>
      </c>
      <c r="R53" s="81">
        <f t="shared" si="22"/>
        <v>300000</v>
      </c>
      <c r="S53" s="82">
        <f t="shared" si="23"/>
        <v>0</v>
      </c>
      <c r="T53" s="85">
        <f t="shared" si="29"/>
        <v>0</v>
      </c>
      <c r="U53" s="86">
        <f t="shared" si="30"/>
        <v>0</v>
      </c>
      <c r="V53" s="86">
        <f t="shared" si="31"/>
        <v>0</v>
      </c>
      <c r="W53" s="86">
        <f t="shared" si="32"/>
        <v>0</v>
      </c>
      <c r="X53" s="86">
        <f t="shared" si="33"/>
        <v>0</v>
      </c>
      <c r="Y53" s="86">
        <f t="shared" si="34"/>
        <v>0</v>
      </c>
      <c r="Z53" s="80">
        <f t="shared" si="35"/>
        <v>0</v>
      </c>
      <c r="AA53" s="80">
        <f t="shared" si="36"/>
        <v>0</v>
      </c>
      <c r="AB53" s="80">
        <f t="shared" si="37"/>
        <v>0</v>
      </c>
      <c r="AC53" s="80">
        <f t="shared" si="38"/>
        <v>0</v>
      </c>
      <c r="AD53" s="80">
        <f t="shared" si="39"/>
        <v>0</v>
      </c>
      <c r="AE53" s="80">
        <f t="shared" si="40"/>
        <v>0</v>
      </c>
      <c r="AF53" s="80">
        <f t="shared" si="41"/>
        <v>100000</v>
      </c>
      <c r="AG53" s="84">
        <f t="shared" si="42"/>
        <v>500000</v>
      </c>
    </row>
    <row r="54" spans="1:33" x14ac:dyDescent="0.25">
      <c r="A54" s="77">
        <f t="shared" si="43"/>
        <v>191666.6666666666</v>
      </c>
      <c r="B54" s="44" t="s">
        <v>38</v>
      </c>
      <c r="C54" s="3">
        <v>300000</v>
      </c>
      <c r="D54" s="52">
        <f t="shared" si="16"/>
        <v>300000</v>
      </c>
      <c r="E54" s="79">
        <f t="shared" si="6"/>
        <v>1.5652173913043483</v>
      </c>
      <c r="F54" s="52">
        <f t="shared" si="7"/>
        <v>0</v>
      </c>
      <c r="G54" s="52">
        <f t="shared" si="8"/>
        <v>0</v>
      </c>
      <c r="H54" s="52">
        <f t="shared" si="9"/>
        <v>0</v>
      </c>
      <c r="I54" s="52">
        <f t="shared" si="10"/>
        <v>0</v>
      </c>
      <c r="J54" s="52">
        <f t="shared" si="11"/>
        <v>0</v>
      </c>
      <c r="K54" s="82">
        <f t="shared" si="12"/>
        <v>0</v>
      </c>
      <c r="L54" s="81">
        <f t="shared" si="28"/>
        <v>0</v>
      </c>
      <c r="M54" s="81">
        <f t="shared" si="17"/>
        <v>0</v>
      </c>
      <c r="N54" s="81">
        <f t="shared" si="18"/>
        <v>0</v>
      </c>
      <c r="O54" s="81">
        <f t="shared" si="19"/>
        <v>0</v>
      </c>
      <c r="P54" s="81">
        <f t="shared" si="20"/>
        <v>0</v>
      </c>
      <c r="Q54" s="81">
        <f t="shared" si="21"/>
        <v>0</v>
      </c>
      <c r="R54" s="81">
        <f t="shared" si="22"/>
        <v>100000</v>
      </c>
      <c r="S54" s="82">
        <f t="shared" si="23"/>
        <v>200000</v>
      </c>
      <c r="T54" s="85">
        <f t="shared" si="29"/>
        <v>0</v>
      </c>
      <c r="U54" s="86">
        <f t="shared" si="30"/>
        <v>0</v>
      </c>
      <c r="V54" s="86">
        <f t="shared" si="31"/>
        <v>0</v>
      </c>
      <c r="W54" s="86">
        <f t="shared" si="32"/>
        <v>0</v>
      </c>
      <c r="X54" s="86">
        <f t="shared" si="33"/>
        <v>0</v>
      </c>
      <c r="Y54" s="86">
        <f t="shared" si="34"/>
        <v>0</v>
      </c>
      <c r="Z54" s="80">
        <f t="shared" si="35"/>
        <v>0</v>
      </c>
      <c r="AA54" s="80">
        <f t="shared" si="36"/>
        <v>0</v>
      </c>
      <c r="AB54" s="80">
        <f t="shared" si="37"/>
        <v>0</v>
      </c>
      <c r="AC54" s="80">
        <f t="shared" si="38"/>
        <v>0</v>
      </c>
      <c r="AD54" s="80">
        <f t="shared" si="39"/>
        <v>0</v>
      </c>
      <c r="AE54" s="80">
        <f t="shared" si="40"/>
        <v>0</v>
      </c>
      <c r="AF54" s="80">
        <f t="shared" si="41"/>
        <v>0</v>
      </c>
      <c r="AG54" s="84">
        <f t="shared" si="42"/>
        <v>300000</v>
      </c>
    </row>
    <row r="55" spans="1:33" ht="15.75" thickBot="1" x14ac:dyDescent="0.3">
      <c r="A55" s="77">
        <f t="shared" si="43"/>
        <v>187499.99999999994</v>
      </c>
      <c r="B55" s="44" t="s">
        <v>39</v>
      </c>
      <c r="C55" s="3">
        <v>300000</v>
      </c>
      <c r="D55" s="90">
        <f t="shared" si="16"/>
        <v>300000</v>
      </c>
      <c r="E55" s="79">
        <f>D55/(F55/$F$36+G55/$G$36+H55/$H$36+I55/$I$36+J55/$J$36+K55/$K$36+L55/$L$36+M55/$M$36+N55/$N$36+O55/$O$36+P55/$P$36+Q55/$Q$36+R55/$R$36+S55/$S$36)</f>
        <v>1.6000000000000005</v>
      </c>
      <c r="F55" s="52">
        <f t="shared" si="7"/>
        <v>0</v>
      </c>
      <c r="G55" s="52">
        <f t="shared" si="8"/>
        <v>0</v>
      </c>
      <c r="H55" s="52">
        <f t="shared" si="9"/>
        <v>0</v>
      </c>
      <c r="I55" s="52">
        <f t="shared" si="10"/>
        <v>0</v>
      </c>
      <c r="J55" s="52">
        <f t="shared" si="11"/>
        <v>0</v>
      </c>
      <c r="K55" s="82">
        <f t="shared" si="12"/>
        <v>0</v>
      </c>
      <c r="L55" s="81">
        <f>IF((IF((D55-F55-G55-H55-I55-J55-K55)&lt;=Z54,(D55-F55-G55-H55-I55-J55-K55),Z54))&gt;0,(IF((D55-F55-G55-H55-I55-J55-K55)&lt;=Z54,(D55-F55-G55-H55-I55-J55-K55),Z54)),0)</f>
        <v>0</v>
      </c>
      <c r="M55" s="81">
        <f>IF((IF((D55-F55-G55-H55-I55-J55-K55-L55)&lt;=AA54,(D55-F55-G55-H55-I55-J55-K55-L55),AA54))&gt;0,(IF((D55-F55-G55-H55-I55-J55-K55-L55)&lt;=AA54,(D55-F55-G55-H55-I55-J55-K55-L55),AA54)),0)</f>
        <v>0</v>
      </c>
      <c r="N55" s="81">
        <f>IF((IF((D55-F55-G55-H55-I55-J55-K55-L55-M55)&lt;=AB54,(D55-F55-G55-H55-I55-J55-K55-L55-M55),AB54))&gt;0,(IF((D55-F55-G55-H55-I55-J55-K55-L55-M55)&lt;=AB54,(D55-F55-G55-H55-I55-J55-K55-L55-M55),AB54)),0)</f>
        <v>0</v>
      </c>
      <c r="O55" s="81">
        <f>IF((IF((D55-F55-G55-H55-I55-J55-K55-L55-M55-N55)&lt;=AC54,(D55-F55-G55-H55-I55-J55-K55-L55-M55-N55),AC54))&gt;0,(IF((D55-F55-G55-H55-I55-J55-K55-L55-M55-N55)&lt;=AC54,(D55-F55-G55-H55-I55-J55-K55-L55-M55-N55),AC54)),0)</f>
        <v>0</v>
      </c>
      <c r="P55" s="81">
        <f t="shared" si="20"/>
        <v>0</v>
      </c>
      <c r="Q55" s="81">
        <f t="shared" si="21"/>
        <v>0</v>
      </c>
      <c r="R55" s="81">
        <f>IF((IF((D55-F55-G55-H55-I55-J55-K55-L55-M55-N55-O55-P55-Q55)&lt;=AF54,(D55-F55-G55-H55-I55-J55-K55-L55-M55-N55-O55-P55-Q55),AF54))&gt;0,(IF((D55-F55-G55-H55-I55-J55-K55-L55-M55-N55-O55-P55-Q55)&lt;=AF54,(D55-F55-G55-H55-I55-J55-K55-L55-M55-N55-O55-P55-Q55),AF54)),0)</f>
        <v>0</v>
      </c>
      <c r="S55" s="82">
        <f>IF((IF((D55-F55-G55-H55-I55-J55-K55-L55-M55-N55-O55-P55-Q55-R55)&lt;=AG54,(D55-F55-G55-H55-I55-J55-K55-L55-M55-N55-O55-P55-Q55-R55),AG54))&gt;0,(IF((D55-F55-G55-H55-I55-J55-K55-L55-M55-N55-O55-P55-Q55-R55)&lt;=AG54,(D55-F55-G55-H55-I55-J55-K55-L55-M55-N55-O55-P55-Q55-R55),AG54)),0)</f>
        <v>300000</v>
      </c>
      <c r="T55" s="91">
        <f t="shared" si="29"/>
        <v>0</v>
      </c>
      <c r="U55" s="92">
        <f t="shared" si="30"/>
        <v>0</v>
      </c>
      <c r="V55" s="92">
        <f t="shared" si="31"/>
        <v>0</v>
      </c>
      <c r="W55" s="92">
        <f t="shared" si="32"/>
        <v>0</v>
      </c>
      <c r="X55" s="92">
        <f t="shared" si="33"/>
        <v>0</v>
      </c>
      <c r="Y55" s="92">
        <f t="shared" si="34"/>
        <v>0</v>
      </c>
      <c r="Z55" s="93">
        <f t="shared" si="35"/>
        <v>0</v>
      </c>
      <c r="AA55" s="93">
        <f t="shared" si="36"/>
        <v>0</v>
      </c>
      <c r="AB55" s="93">
        <f t="shared" si="37"/>
        <v>0</v>
      </c>
      <c r="AC55" s="93">
        <f t="shared" si="38"/>
        <v>0</v>
      </c>
      <c r="AD55" s="93">
        <f t="shared" si="39"/>
        <v>0</v>
      </c>
      <c r="AE55" s="93">
        <f t="shared" si="40"/>
        <v>0</v>
      </c>
      <c r="AF55" s="93">
        <f t="shared" si="41"/>
        <v>0</v>
      </c>
      <c r="AG55" s="94">
        <f t="shared" si="42"/>
        <v>0</v>
      </c>
    </row>
    <row r="56" spans="1:33" ht="18" thickBot="1" x14ac:dyDescent="0.3">
      <c r="A56" s="95">
        <f>SUM(A37:A55)</f>
        <v>23689359.251859251</v>
      </c>
      <c r="C56" s="96">
        <f>SUM(C37:C55)</f>
        <v>6900000</v>
      </c>
      <c r="D56" s="57">
        <f>SUM(D37:D55)</f>
        <v>7000000</v>
      </c>
      <c r="AG56" s="97">
        <f>SUM(T55:AG55)</f>
        <v>0</v>
      </c>
    </row>
    <row r="57" spans="1:33" x14ac:dyDescent="0.25">
      <c r="E57" s="98"/>
    </row>
    <row r="58" spans="1:33" x14ac:dyDescent="0.25">
      <c r="G58" s="41" t="s">
        <v>81</v>
      </c>
    </row>
  </sheetData>
  <sheetProtection algorithmName="SHA-512" hashValue="466pprX0q3WA1EP63ZuWDeLJXsp6cooAjjEKsOow3EVlZbGEa4M/iWWI6c/0pNjFVqrckN1hPMTD1PILJuYsRg==" saltValue="10+lp6glq9TmRKOZc4pGtA==" spinCount="100000" sheet="1" objects="1" scenarios="1"/>
  <mergeCells count="6">
    <mergeCell ref="T35:AG35"/>
    <mergeCell ref="A35:A36"/>
    <mergeCell ref="E35:E36"/>
    <mergeCell ref="B35:B36"/>
    <mergeCell ref="C35:D35"/>
    <mergeCell ref="F35:S35"/>
  </mergeCells>
  <conditionalFormatting sqref="D56">
    <cfRule type="expression" dxfId="0" priority="1">
      <formula>$D$56&gt;$E$31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36"/>
  <sheetViews>
    <sheetView showZeros="0" zoomScale="80" zoomScaleNormal="8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N33" sqref="N33:N41"/>
    </sheetView>
  </sheetViews>
  <sheetFormatPr defaultRowHeight="15" x14ac:dyDescent="0.25"/>
  <cols>
    <col min="1" max="1" width="12.140625" style="7" customWidth="1"/>
    <col min="2" max="2" width="11.28515625" style="7" customWidth="1"/>
    <col min="3" max="7" width="12.85546875" style="7" customWidth="1"/>
    <col min="8" max="9" width="12.85546875" style="8" customWidth="1"/>
    <col min="10" max="14" width="12.85546875" style="9" customWidth="1"/>
  </cols>
  <sheetData>
    <row r="2" spans="1:14" ht="17.25" customHeight="1" x14ac:dyDescent="0.25">
      <c r="A2" s="26" t="s">
        <v>41</v>
      </c>
      <c r="B2" s="35" t="s">
        <v>42</v>
      </c>
      <c r="C2" s="33" t="s">
        <v>50</v>
      </c>
      <c r="D2" s="34"/>
      <c r="E2" s="34"/>
      <c r="F2" s="34"/>
      <c r="G2" s="34"/>
      <c r="H2" s="34"/>
      <c r="I2" s="34"/>
      <c r="J2" s="33" t="s">
        <v>58</v>
      </c>
      <c r="K2" s="34"/>
      <c r="L2" s="34"/>
      <c r="M2" s="34"/>
      <c r="N2" s="34"/>
    </row>
    <row r="3" spans="1:14" ht="18" customHeight="1" x14ac:dyDescent="0.25">
      <c r="A3" s="30"/>
      <c r="B3" s="36"/>
      <c r="C3" s="35" t="s">
        <v>44</v>
      </c>
      <c r="D3" s="35"/>
      <c r="E3" s="24"/>
      <c r="F3" s="26" t="s">
        <v>73</v>
      </c>
      <c r="G3" s="26"/>
      <c r="H3" s="35" t="s">
        <v>72</v>
      </c>
      <c r="I3" s="35" t="s">
        <v>71</v>
      </c>
      <c r="J3" s="35" t="s">
        <v>57</v>
      </c>
      <c r="K3" s="35"/>
      <c r="L3" s="24"/>
      <c r="M3" s="35" t="s">
        <v>72</v>
      </c>
      <c r="N3" s="35" t="s">
        <v>71</v>
      </c>
    </row>
    <row r="4" spans="1:14" ht="60" customHeight="1" x14ac:dyDescent="0.25">
      <c r="A4" s="30"/>
      <c r="B4" s="36"/>
      <c r="C4" s="16" t="s">
        <v>43</v>
      </c>
      <c r="D4" s="14" t="s">
        <v>49</v>
      </c>
      <c r="E4" s="14" t="s">
        <v>17</v>
      </c>
      <c r="F4" s="14" t="s">
        <v>47</v>
      </c>
      <c r="G4" s="14" t="s">
        <v>48</v>
      </c>
      <c r="H4" s="35"/>
      <c r="I4" s="32"/>
      <c r="J4" s="16" t="s">
        <v>43</v>
      </c>
      <c r="K4" s="14" t="s">
        <v>49</v>
      </c>
      <c r="L4" s="14" t="s">
        <v>17</v>
      </c>
      <c r="M4" s="37"/>
      <c r="N4" s="30"/>
    </row>
    <row r="5" spans="1:14" ht="15" customHeight="1" x14ac:dyDescent="0.2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</row>
    <row r="6" spans="1:14" ht="15.75" customHeight="1" x14ac:dyDescent="0.25">
      <c r="A6" s="13" t="s">
        <v>20</v>
      </c>
      <c r="B6" s="16" t="s">
        <v>45</v>
      </c>
      <c r="C6" s="4">
        <f>SUM(C7:C14)</f>
        <v>5000000</v>
      </c>
      <c r="D6" s="21">
        <f>'Исходные данные'!D16</f>
        <v>0.03</v>
      </c>
      <c r="E6" s="18">
        <f>SUM(E7:E14)</f>
        <v>150000</v>
      </c>
      <c r="F6" s="19"/>
      <c r="G6" s="23"/>
      <c r="H6" s="25"/>
      <c r="I6" s="25"/>
      <c r="J6" s="18">
        <f>SUM(J7:J14)</f>
        <v>5000000</v>
      </c>
      <c r="K6" s="21">
        <f>D6</f>
        <v>0.03</v>
      </c>
      <c r="L6" s="18">
        <f>SUM(L7:L14)</f>
        <v>150000</v>
      </c>
      <c r="M6" s="22">
        <f>G6/J6</f>
        <v>0</v>
      </c>
      <c r="N6" s="20">
        <f t="shared" ref="N6" si="0">M6/K6/3*12</f>
        <v>0</v>
      </c>
    </row>
    <row r="7" spans="1:14" x14ac:dyDescent="0.25">
      <c r="A7" s="15" t="s">
        <v>80</v>
      </c>
      <c r="B7" s="12" t="str">
        <f>'Исходные данные'!B4</f>
        <v>V</v>
      </c>
      <c r="C7" s="12">
        <f>E7/$D$6</f>
        <v>1500000</v>
      </c>
      <c r="D7" s="22"/>
      <c r="E7" s="19">
        <f>'Исходные данные'!$C$37*'Исходные данные'!$H$4</f>
        <v>45000</v>
      </c>
      <c r="F7" s="5"/>
      <c r="G7" s="24"/>
      <c r="H7" s="26"/>
      <c r="I7" s="26"/>
      <c r="J7" s="19">
        <f t="shared" ref="J7:J14" si="1">C7</f>
        <v>1500000</v>
      </c>
      <c r="K7" s="22"/>
      <c r="L7" s="19">
        <f t="shared" ref="L7:L14" si="2">E7</f>
        <v>45000</v>
      </c>
      <c r="M7" s="22"/>
      <c r="N7" s="20"/>
    </row>
    <row r="8" spans="1:14" x14ac:dyDescent="0.25">
      <c r="A8" s="15"/>
      <c r="B8" s="6" t="str">
        <f>'Исходные данные'!B5</f>
        <v>G*</v>
      </c>
      <c r="C8" s="12">
        <f>E8/$D$6</f>
        <v>1250000</v>
      </c>
      <c r="D8" s="22"/>
      <c r="E8" s="19">
        <f>'Исходные данные'!$C$37*'Исходные данные'!$H$5</f>
        <v>37500</v>
      </c>
      <c r="F8" s="19"/>
      <c r="G8" s="24"/>
      <c r="H8" s="26"/>
      <c r="I8" s="26"/>
      <c r="J8" s="19">
        <f t="shared" si="1"/>
        <v>1250000</v>
      </c>
      <c r="K8" s="22"/>
      <c r="L8" s="19">
        <f t="shared" si="2"/>
        <v>37500</v>
      </c>
      <c r="M8" s="22"/>
      <c r="N8" s="20"/>
    </row>
    <row r="9" spans="1:14" x14ac:dyDescent="0.25">
      <c r="A9" s="15"/>
      <c r="B9" s="6" t="str">
        <f>'Исходные данные'!B6</f>
        <v>M*</v>
      </c>
      <c r="C9" s="12">
        <f t="shared" ref="C9:C14" si="3">E9/$D$6</f>
        <v>750000</v>
      </c>
      <c r="D9" s="22"/>
      <c r="E9" s="19">
        <f>'Исходные данные'!$C$37*'Исходные данные'!$H$6</f>
        <v>22500</v>
      </c>
      <c r="F9" s="19"/>
      <c r="G9" s="24"/>
      <c r="H9" s="26"/>
      <c r="I9" s="26"/>
      <c r="J9" s="19">
        <f t="shared" si="1"/>
        <v>750000</v>
      </c>
      <c r="K9" s="22"/>
      <c r="L9" s="19">
        <f t="shared" si="2"/>
        <v>22500</v>
      </c>
      <c r="M9" s="22"/>
      <c r="N9" s="20"/>
    </row>
    <row r="10" spans="1:14" x14ac:dyDescent="0.25">
      <c r="A10" s="15"/>
      <c r="B10" s="12" t="str">
        <f>'Исходные данные'!B7</f>
        <v>F</v>
      </c>
      <c r="C10" s="12">
        <f t="shared" si="3"/>
        <v>250000</v>
      </c>
      <c r="D10" s="22"/>
      <c r="E10" s="19">
        <f>'Исходные данные'!$C$37*'Исходные данные'!$H$7</f>
        <v>7500</v>
      </c>
      <c r="F10" s="19"/>
      <c r="G10" s="24"/>
      <c r="H10" s="26"/>
      <c r="I10" s="26"/>
      <c r="J10" s="19">
        <f t="shared" si="1"/>
        <v>250000</v>
      </c>
      <c r="K10" s="22"/>
      <c r="L10" s="19">
        <f t="shared" si="2"/>
        <v>7500</v>
      </c>
      <c r="M10" s="22"/>
      <c r="N10" s="20"/>
    </row>
    <row r="11" spans="1:14" x14ac:dyDescent="0.25">
      <c r="A11" s="15"/>
      <c r="B11" s="6" t="str">
        <f>'Исходные данные'!B8</f>
        <v>С*</v>
      </c>
      <c r="C11" s="12">
        <f t="shared" si="3"/>
        <v>250000</v>
      </c>
      <c r="D11" s="22"/>
      <c r="E11" s="19">
        <f>'Исходные данные'!$C$37*'Исходные данные'!$H$8</f>
        <v>7500</v>
      </c>
      <c r="F11" s="19"/>
      <c r="G11" s="24"/>
      <c r="H11" s="26"/>
      <c r="I11" s="26"/>
      <c r="J11" s="19">
        <f t="shared" si="1"/>
        <v>250000</v>
      </c>
      <c r="K11" s="22"/>
      <c r="L11" s="19">
        <f t="shared" si="2"/>
        <v>7500</v>
      </c>
      <c r="M11" s="22"/>
      <c r="N11" s="20"/>
    </row>
    <row r="12" spans="1:14" x14ac:dyDescent="0.25">
      <c r="A12" s="15"/>
      <c r="B12" s="12" t="str">
        <f>'Исходные данные'!B9</f>
        <v xml:space="preserve">I </v>
      </c>
      <c r="C12" s="12">
        <f t="shared" si="3"/>
        <v>250000</v>
      </c>
      <c r="D12" s="22"/>
      <c r="E12" s="19">
        <f>'Исходные данные'!$C$37*'Исходные данные'!$H$9</f>
        <v>7500</v>
      </c>
      <c r="F12" s="19"/>
      <c r="G12" s="24"/>
      <c r="H12" s="26"/>
      <c r="I12" s="26"/>
      <c r="J12" s="19">
        <f t="shared" si="1"/>
        <v>250000</v>
      </c>
      <c r="K12" s="22"/>
      <c r="L12" s="19">
        <f t="shared" si="2"/>
        <v>7500</v>
      </c>
      <c r="M12" s="22"/>
      <c r="N12" s="20"/>
    </row>
    <row r="13" spans="1:14" x14ac:dyDescent="0.25">
      <c r="A13" s="15"/>
      <c r="B13" s="6" t="str">
        <f>'Исходные данные'!B10</f>
        <v>R*</v>
      </c>
      <c r="C13" s="12">
        <f t="shared" si="3"/>
        <v>500000</v>
      </c>
      <c r="D13" s="22"/>
      <c r="E13" s="19">
        <f>'Исходные данные'!$C$37*'Исходные данные'!$H$10</f>
        <v>15000</v>
      </c>
      <c r="F13" s="19"/>
      <c r="G13" s="24"/>
      <c r="H13" s="26"/>
      <c r="I13" s="26"/>
      <c r="J13" s="19">
        <f t="shared" si="1"/>
        <v>500000</v>
      </c>
      <c r="K13" s="22"/>
      <c r="L13" s="19">
        <f t="shared" si="2"/>
        <v>15000</v>
      </c>
      <c r="M13" s="22"/>
      <c r="N13" s="20"/>
    </row>
    <row r="14" spans="1:14" x14ac:dyDescent="0.25">
      <c r="A14" s="15"/>
      <c r="B14" s="6" t="str">
        <f>'Исходные данные'!B11</f>
        <v>А*</v>
      </c>
      <c r="C14" s="12">
        <f t="shared" si="3"/>
        <v>250000</v>
      </c>
      <c r="D14" s="22"/>
      <c r="E14" s="19">
        <f>'Исходные данные'!$C$37*'Исходные данные'!$H$11</f>
        <v>7500</v>
      </c>
      <c r="F14" s="19"/>
      <c r="G14" s="24"/>
      <c r="H14" s="26"/>
      <c r="I14" s="26"/>
      <c r="J14" s="19">
        <f t="shared" si="1"/>
        <v>250000</v>
      </c>
      <c r="K14" s="22"/>
      <c r="L14" s="19">
        <f t="shared" si="2"/>
        <v>7500</v>
      </c>
      <c r="M14" s="22"/>
      <c r="N14" s="20"/>
    </row>
    <row r="15" spans="1:14" s="1" customFormat="1" x14ac:dyDescent="0.25">
      <c r="A15" s="13" t="s">
        <v>21</v>
      </c>
      <c r="B15" s="4" t="str">
        <f t="shared" ref="B15:B46" si="4">B6</f>
        <v>ВСЕГО:</v>
      </c>
      <c r="C15" s="18">
        <f>SUM(C16:C23)</f>
        <v>5500000</v>
      </c>
      <c r="D15" s="21">
        <f>'Исходные данные'!E38</f>
        <v>5.4545454545454543E-2</v>
      </c>
      <c r="E15" s="18">
        <f>SUM(E16:E23)</f>
        <v>300000</v>
      </c>
      <c r="F15" s="18"/>
      <c r="G15" s="29"/>
      <c r="H15" s="31"/>
      <c r="I15" s="31"/>
      <c r="J15" s="18">
        <f>SUM(J16:J23)</f>
        <v>10500000</v>
      </c>
      <c r="K15" s="21">
        <f>L15/J15</f>
        <v>4.2857142857142858E-2</v>
      </c>
      <c r="L15" s="18">
        <f>SUM(L16:L23)</f>
        <v>450000</v>
      </c>
      <c r="M15" s="22">
        <f>(G6+G15)/J15</f>
        <v>0</v>
      </c>
      <c r="N15" s="20">
        <f t="shared" ref="N15" si="5">M15/K15/3*12</f>
        <v>0</v>
      </c>
    </row>
    <row r="16" spans="1:14" s="1" customFormat="1" x14ac:dyDescent="0.25">
      <c r="A16" s="15"/>
      <c r="B16" s="12" t="str">
        <f t="shared" si="4"/>
        <v>V</v>
      </c>
      <c r="C16" s="12">
        <f>E16/$D$15</f>
        <v>1650000</v>
      </c>
      <c r="D16" s="22"/>
      <c r="E16" s="19">
        <f>'Исходные данные'!$C$38*'Исходные данные'!$H$4</f>
        <v>90000</v>
      </c>
      <c r="F16" s="17"/>
      <c r="G16" s="30"/>
      <c r="H16" s="32"/>
      <c r="I16" s="32"/>
      <c r="J16" s="19">
        <f>C7+C16</f>
        <v>3150000</v>
      </c>
      <c r="K16" s="22"/>
      <c r="L16" s="19">
        <f>E7+E16</f>
        <v>135000</v>
      </c>
      <c r="M16" s="22"/>
      <c r="N16" s="20"/>
    </row>
    <row r="17" spans="1:14" s="1" customFormat="1" x14ac:dyDescent="0.25">
      <c r="A17" s="15"/>
      <c r="B17" s="6" t="str">
        <f t="shared" si="4"/>
        <v>G*</v>
      </c>
      <c r="C17" s="12">
        <f t="shared" ref="C17:C23" si="6">E17/$D$15</f>
        <v>1375000</v>
      </c>
      <c r="D17" s="22"/>
      <c r="E17" s="19">
        <f>'Исходные данные'!$C$38*'Исходные данные'!$H$5</f>
        <v>75000</v>
      </c>
      <c r="F17" s="17"/>
      <c r="G17" s="30"/>
      <c r="H17" s="32"/>
      <c r="I17" s="32"/>
      <c r="J17" s="19">
        <f t="shared" ref="J17:J22" si="7">C8+C17</f>
        <v>2625000</v>
      </c>
      <c r="K17" s="22"/>
      <c r="L17" s="19">
        <f t="shared" ref="L17:L23" si="8">E8+E17</f>
        <v>112500</v>
      </c>
      <c r="M17" s="22"/>
      <c r="N17" s="20"/>
    </row>
    <row r="18" spans="1:14" s="1" customFormat="1" x14ac:dyDescent="0.25">
      <c r="A18" s="15"/>
      <c r="B18" s="6" t="str">
        <f t="shared" si="4"/>
        <v>M*</v>
      </c>
      <c r="C18" s="12">
        <f t="shared" si="6"/>
        <v>825000</v>
      </c>
      <c r="D18" s="22"/>
      <c r="E18" s="19">
        <f>'Исходные данные'!$C$38*'Исходные данные'!$H$6</f>
        <v>45000</v>
      </c>
      <c r="F18" s="17"/>
      <c r="G18" s="30"/>
      <c r="H18" s="32"/>
      <c r="I18" s="32"/>
      <c r="J18" s="19">
        <f t="shared" si="7"/>
        <v>1575000</v>
      </c>
      <c r="K18" s="22"/>
      <c r="L18" s="19">
        <f t="shared" si="8"/>
        <v>67500</v>
      </c>
      <c r="M18" s="22"/>
      <c r="N18" s="20"/>
    </row>
    <row r="19" spans="1:14" s="1" customFormat="1" x14ac:dyDescent="0.25">
      <c r="A19" s="15"/>
      <c r="B19" s="12" t="str">
        <f t="shared" si="4"/>
        <v>F</v>
      </c>
      <c r="C19" s="12">
        <f t="shared" si="6"/>
        <v>275000</v>
      </c>
      <c r="D19" s="22"/>
      <c r="E19" s="19">
        <f>'Исходные данные'!$C$38*'Исходные данные'!$H$7</f>
        <v>15000</v>
      </c>
      <c r="F19" s="17"/>
      <c r="G19" s="30"/>
      <c r="H19" s="32"/>
      <c r="I19" s="32"/>
      <c r="J19" s="19">
        <f t="shared" si="7"/>
        <v>525000</v>
      </c>
      <c r="K19" s="22"/>
      <c r="L19" s="19">
        <f t="shared" si="8"/>
        <v>22500</v>
      </c>
      <c r="M19" s="22"/>
      <c r="N19" s="20"/>
    </row>
    <row r="20" spans="1:14" s="1" customFormat="1" x14ac:dyDescent="0.25">
      <c r="A20" s="15"/>
      <c r="B20" s="6" t="str">
        <f t="shared" si="4"/>
        <v>С*</v>
      </c>
      <c r="C20" s="12">
        <f t="shared" si="6"/>
        <v>275000</v>
      </c>
      <c r="D20" s="22"/>
      <c r="E20" s="19">
        <f>'Исходные данные'!$C$38*'Исходные данные'!$H$8</f>
        <v>15000</v>
      </c>
      <c r="F20" s="17"/>
      <c r="G20" s="30"/>
      <c r="H20" s="32"/>
      <c r="I20" s="32"/>
      <c r="J20" s="19">
        <f t="shared" si="7"/>
        <v>525000</v>
      </c>
      <c r="K20" s="22"/>
      <c r="L20" s="19">
        <f t="shared" si="8"/>
        <v>22500</v>
      </c>
      <c r="M20" s="22"/>
      <c r="N20" s="20"/>
    </row>
    <row r="21" spans="1:14" s="1" customFormat="1" x14ac:dyDescent="0.25">
      <c r="A21" s="15"/>
      <c r="B21" s="12" t="str">
        <f t="shared" si="4"/>
        <v xml:space="preserve">I </v>
      </c>
      <c r="C21" s="12">
        <f t="shared" si="6"/>
        <v>275000</v>
      </c>
      <c r="D21" s="22"/>
      <c r="E21" s="19">
        <f>'Исходные данные'!$C$38*'Исходные данные'!$H$9</f>
        <v>15000</v>
      </c>
      <c r="F21" s="17"/>
      <c r="G21" s="30"/>
      <c r="H21" s="32"/>
      <c r="I21" s="32"/>
      <c r="J21" s="19">
        <f t="shared" si="7"/>
        <v>525000</v>
      </c>
      <c r="K21" s="22"/>
      <c r="L21" s="19">
        <f t="shared" si="8"/>
        <v>22500</v>
      </c>
      <c r="M21" s="22"/>
      <c r="N21" s="20"/>
    </row>
    <row r="22" spans="1:14" s="1" customFormat="1" x14ac:dyDescent="0.25">
      <c r="A22" s="15"/>
      <c r="B22" s="6" t="str">
        <f t="shared" si="4"/>
        <v>R*</v>
      </c>
      <c r="C22" s="12">
        <f t="shared" si="6"/>
        <v>550000</v>
      </c>
      <c r="D22" s="22"/>
      <c r="E22" s="19">
        <f>'Исходные данные'!$C$38*'Исходные данные'!$H$10</f>
        <v>30000</v>
      </c>
      <c r="F22" s="17"/>
      <c r="G22" s="30"/>
      <c r="H22" s="32"/>
      <c r="I22" s="32"/>
      <c r="J22" s="19">
        <f t="shared" si="7"/>
        <v>1050000</v>
      </c>
      <c r="K22" s="22"/>
      <c r="L22" s="19">
        <f t="shared" si="8"/>
        <v>45000</v>
      </c>
      <c r="M22" s="22"/>
      <c r="N22" s="20"/>
    </row>
    <row r="23" spans="1:14" s="1" customFormat="1" x14ac:dyDescent="0.25">
      <c r="A23" s="15"/>
      <c r="B23" s="6" t="str">
        <f t="shared" si="4"/>
        <v>А*</v>
      </c>
      <c r="C23" s="12">
        <f t="shared" si="6"/>
        <v>275000</v>
      </c>
      <c r="D23" s="22"/>
      <c r="E23" s="19">
        <f>'Исходные данные'!$C$38*'Исходные данные'!$H$11</f>
        <v>15000</v>
      </c>
      <c r="F23" s="17"/>
      <c r="G23" s="30"/>
      <c r="H23" s="32"/>
      <c r="I23" s="32"/>
      <c r="J23" s="19">
        <f>C14+C23</f>
        <v>525000</v>
      </c>
      <c r="K23" s="22"/>
      <c r="L23" s="19">
        <f t="shared" si="8"/>
        <v>22500</v>
      </c>
      <c r="M23" s="22"/>
      <c r="N23" s="20"/>
    </row>
    <row r="24" spans="1:14" s="1" customFormat="1" x14ac:dyDescent="0.25">
      <c r="A24" s="13" t="s">
        <v>22</v>
      </c>
      <c r="B24" s="4" t="str">
        <f t="shared" si="4"/>
        <v>ВСЕГО:</v>
      </c>
      <c r="C24" s="18">
        <f>SUM(C25:C32)</f>
        <v>3500000</v>
      </c>
      <c r="D24" s="21">
        <f>'Исходные данные'!E39</f>
        <v>0.1</v>
      </c>
      <c r="E24" s="18">
        <f>SUM(E25:E32)</f>
        <v>350000</v>
      </c>
      <c r="F24" s="18"/>
      <c r="G24" s="29"/>
      <c r="H24" s="31"/>
      <c r="I24" s="31"/>
      <c r="J24" s="18">
        <f>SUM(J25:J32)</f>
        <v>14000000</v>
      </c>
      <c r="K24" s="21">
        <f>L24/J24</f>
        <v>5.7142857142857141E-2</v>
      </c>
      <c r="L24" s="18">
        <f>SUM(L25:L32)</f>
        <v>800000</v>
      </c>
      <c r="M24" s="22">
        <f>(G6+G15+G24)/J24</f>
        <v>0</v>
      </c>
      <c r="N24" s="20">
        <f>M24/K24/3*12</f>
        <v>0</v>
      </c>
    </row>
    <row r="25" spans="1:14" s="1" customFormat="1" x14ac:dyDescent="0.25">
      <c r="A25" s="15"/>
      <c r="B25" s="12" t="str">
        <f t="shared" si="4"/>
        <v>V</v>
      </c>
      <c r="C25" s="12">
        <f>E25/$D$24</f>
        <v>1050000</v>
      </c>
      <c r="D25" s="22"/>
      <c r="E25" s="19">
        <f>'Исходные данные'!$C$39*'Исходные данные'!$H$4</f>
        <v>105000</v>
      </c>
      <c r="F25" s="17"/>
      <c r="G25" s="30"/>
      <c r="H25" s="32"/>
      <c r="I25" s="32"/>
      <c r="J25" s="19">
        <f>C7+C16+C25</f>
        <v>4200000</v>
      </c>
      <c r="K25" s="22"/>
      <c r="L25" s="19">
        <f>E7+E16+E25</f>
        <v>240000</v>
      </c>
      <c r="M25" s="22"/>
      <c r="N25" s="20"/>
    </row>
    <row r="26" spans="1:14" s="1" customFormat="1" x14ac:dyDescent="0.25">
      <c r="A26" s="15"/>
      <c r="B26" s="6" t="str">
        <f t="shared" si="4"/>
        <v>G*</v>
      </c>
      <c r="C26" s="12">
        <f t="shared" ref="C26:C32" si="9">E26/$D$24</f>
        <v>875000</v>
      </c>
      <c r="D26" s="22"/>
      <c r="E26" s="19">
        <f>'Исходные данные'!$C$39*'Исходные данные'!$H$5</f>
        <v>87500</v>
      </c>
      <c r="F26" s="17"/>
      <c r="G26" s="30"/>
      <c r="H26" s="32"/>
      <c r="I26" s="32"/>
      <c r="J26" s="19">
        <f t="shared" ref="J26:J32" si="10">C8+C17+C26</f>
        <v>3500000</v>
      </c>
      <c r="K26" s="22"/>
      <c r="L26" s="19">
        <f t="shared" ref="L26:L32" si="11">E8+E17+E26</f>
        <v>200000</v>
      </c>
      <c r="M26" s="22"/>
      <c r="N26" s="20"/>
    </row>
    <row r="27" spans="1:14" s="1" customFormat="1" x14ac:dyDescent="0.25">
      <c r="A27" s="15"/>
      <c r="B27" s="6" t="str">
        <f t="shared" si="4"/>
        <v>M*</v>
      </c>
      <c r="C27" s="12">
        <f t="shared" si="9"/>
        <v>525000</v>
      </c>
      <c r="D27" s="22"/>
      <c r="E27" s="19">
        <f>'Исходные данные'!$C$39*'Исходные данные'!$H$6</f>
        <v>52500</v>
      </c>
      <c r="F27" s="17"/>
      <c r="G27" s="30"/>
      <c r="H27" s="32"/>
      <c r="I27" s="32"/>
      <c r="J27" s="19">
        <f t="shared" si="10"/>
        <v>2100000</v>
      </c>
      <c r="K27" s="22"/>
      <c r="L27" s="19">
        <f t="shared" si="11"/>
        <v>120000</v>
      </c>
      <c r="M27" s="22"/>
      <c r="N27" s="20"/>
    </row>
    <row r="28" spans="1:14" s="1" customFormat="1" x14ac:dyDescent="0.25">
      <c r="A28" s="15"/>
      <c r="B28" s="12" t="str">
        <f t="shared" si="4"/>
        <v>F</v>
      </c>
      <c r="C28" s="12">
        <f t="shared" si="9"/>
        <v>175000</v>
      </c>
      <c r="D28" s="22"/>
      <c r="E28" s="19">
        <f>'Исходные данные'!$C$39*'Исходные данные'!$H$7</f>
        <v>17500</v>
      </c>
      <c r="F28" s="17"/>
      <c r="G28" s="30"/>
      <c r="H28" s="32"/>
      <c r="I28" s="32"/>
      <c r="J28" s="19">
        <f t="shared" si="10"/>
        <v>700000</v>
      </c>
      <c r="K28" s="22"/>
      <c r="L28" s="19">
        <f t="shared" si="11"/>
        <v>40000</v>
      </c>
      <c r="M28" s="22"/>
      <c r="N28" s="20"/>
    </row>
    <row r="29" spans="1:14" s="1" customFormat="1" x14ac:dyDescent="0.25">
      <c r="A29" s="15"/>
      <c r="B29" s="6" t="str">
        <f t="shared" si="4"/>
        <v>С*</v>
      </c>
      <c r="C29" s="12">
        <f t="shared" si="9"/>
        <v>175000</v>
      </c>
      <c r="D29" s="22"/>
      <c r="E29" s="19">
        <f>'Исходные данные'!$C$39*'Исходные данные'!$H$8</f>
        <v>17500</v>
      </c>
      <c r="F29" s="17"/>
      <c r="G29" s="30"/>
      <c r="H29" s="32"/>
      <c r="I29" s="32"/>
      <c r="J29" s="19">
        <f t="shared" si="10"/>
        <v>700000</v>
      </c>
      <c r="K29" s="22"/>
      <c r="L29" s="19">
        <f t="shared" si="11"/>
        <v>40000</v>
      </c>
      <c r="M29" s="22"/>
      <c r="N29" s="20"/>
    </row>
    <row r="30" spans="1:14" s="1" customFormat="1" x14ac:dyDescent="0.25">
      <c r="A30" s="15"/>
      <c r="B30" s="12" t="str">
        <f t="shared" si="4"/>
        <v xml:space="preserve">I </v>
      </c>
      <c r="C30" s="12">
        <f t="shared" si="9"/>
        <v>175000</v>
      </c>
      <c r="D30" s="22"/>
      <c r="E30" s="19">
        <f>'Исходные данные'!$C$39*'Исходные данные'!$H$9</f>
        <v>17500</v>
      </c>
      <c r="F30" s="17"/>
      <c r="G30" s="30"/>
      <c r="H30" s="32"/>
      <c r="I30" s="32"/>
      <c r="J30" s="19">
        <f t="shared" si="10"/>
        <v>700000</v>
      </c>
      <c r="K30" s="22"/>
      <c r="L30" s="19">
        <f t="shared" si="11"/>
        <v>40000</v>
      </c>
      <c r="M30" s="22"/>
      <c r="N30" s="20"/>
    </row>
    <row r="31" spans="1:14" s="1" customFormat="1" x14ac:dyDescent="0.25">
      <c r="A31" s="15"/>
      <c r="B31" s="6" t="str">
        <f t="shared" si="4"/>
        <v>R*</v>
      </c>
      <c r="C31" s="12">
        <f t="shared" si="9"/>
        <v>350000</v>
      </c>
      <c r="D31" s="22"/>
      <c r="E31" s="19">
        <f>'Исходные данные'!$C$39*'Исходные данные'!$H$10</f>
        <v>35000</v>
      </c>
      <c r="F31" s="17"/>
      <c r="G31" s="30"/>
      <c r="H31" s="32"/>
      <c r="I31" s="32"/>
      <c r="J31" s="19">
        <f t="shared" si="10"/>
        <v>1400000</v>
      </c>
      <c r="K31" s="22"/>
      <c r="L31" s="19">
        <f>E13+E22+E31</f>
        <v>80000</v>
      </c>
      <c r="M31" s="22"/>
      <c r="N31" s="20"/>
    </row>
    <row r="32" spans="1:14" s="1" customFormat="1" x14ac:dyDescent="0.25">
      <c r="A32" s="15"/>
      <c r="B32" s="6" t="str">
        <f t="shared" si="4"/>
        <v>А*</v>
      </c>
      <c r="C32" s="19">
        <f t="shared" si="9"/>
        <v>175000</v>
      </c>
      <c r="D32" s="22"/>
      <c r="E32" s="19">
        <f>'Исходные данные'!$C$39*'Исходные данные'!$H$11</f>
        <v>17500</v>
      </c>
      <c r="F32" s="17"/>
      <c r="G32" s="30"/>
      <c r="H32" s="32"/>
      <c r="I32" s="32"/>
      <c r="J32" s="19">
        <f t="shared" si="10"/>
        <v>700000</v>
      </c>
      <c r="K32" s="22"/>
      <c r="L32" s="19">
        <f t="shared" si="11"/>
        <v>40000</v>
      </c>
      <c r="M32" s="22"/>
      <c r="N32" s="20"/>
    </row>
    <row r="33" spans="1:14" s="1" customFormat="1" x14ac:dyDescent="0.25">
      <c r="A33" s="13" t="s">
        <v>23</v>
      </c>
      <c r="B33" s="4" t="str">
        <f t="shared" si="4"/>
        <v>ВСЕГО:</v>
      </c>
      <c r="C33" s="18">
        <f>SUM(C34:C41)</f>
        <v>2750000</v>
      </c>
      <c r="D33" s="21">
        <f>'Исходные данные'!E40</f>
        <v>0.16363636363636364</v>
      </c>
      <c r="E33" s="18">
        <f>SUM(E34:E41)</f>
        <v>450000</v>
      </c>
      <c r="F33" s="18">
        <f>SUM(F34:F41)</f>
        <v>196079.54545454547</v>
      </c>
      <c r="G33" s="27">
        <f>SUM(F34:F41)</f>
        <v>196079.54545454547</v>
      </c>
      <c r="H33" s="21">
        <f>G33/(C6+C15+C24)</f>
        <v>1.400568181818182E-2</v>
      </c>
      <c r="I33" s="20">
        <f>H33/D33/3*12</f>
        <v>0.34236111111111117</v>
      </c>
      <c r="J33" s="18">
        <f>SUM(J34:J41)</f>
        <v>16750000</v>
      </c>
      <c r="K33" s="21">
        <f>L33/J33</f>
        <v>7.4626865671641784E-2</v>
      </c>
      <c r="L33" s="18">
        <f>SUM(L34:L41)</f>
        <v>1250000</v>
      </c>
      <c r="M33" s="22">
        <f>(G6+G15+G24+G33)/J33</f>
        <v>1.1706241519674357E-2</v>
      </c>
      <c r="N33" s="20">
        <f>M33/K33/3*12</f>
        <v>0.6274545454545456</v>
      </c>
    </row>
    <row r="34" spans="1:14" s="1" customFormat="1" x14ac:dyDescent="0.25">
      <c r="A34" s="15"/>
      <c r="B34" s="12" t="str">
        <f t="shared" si="4"/>
        <v>V</v>
      </c>
      <c r="C34" s="19">
        <f>E34/$D$33</f>
        <v>825000</v>
      </c>
      <c r="D34" s="22"/>
      <c r="E34" s="19">
        <f>'Исходные данные'!$C$40*'Исходные данные'!$H$4</f>
        <v>135000</v>
      </c>
      <c r="F34" s="12">
        <f>(C7*D15+C16*D15+C25*D24)*'Исходные данные'!E4/12*3</f>
        <v>138409.09090909091</v>
      </c>
      <c r="G34" s="28"/>
      <c r="H34" s="21"/>
      <c r="I34" s="20"/>
      <c r="J34" s="19">
        <f>C7+C16+C25+C34</f>
        <v>5025000</v>
      </c>
      <c r="K34" s="22"/>
      <c r="L34" s="19">
        <f>E7+E16+E25+E34</f>
        <v>375000</v>
      </c>
      <c r="M34" s="22"/>
      <c r="N34" s="20"/>
    </row>
    <row r="35" spans="1:14" s="1" customFormat="1" x14ac:dyDescent="0.25">
      <c r="A35" s="15"/>
      <c r="B35" s="6" t="str">
        <f t="shared" si="4"/>
        <v>G*</v>
      </c>
      <c r="C35" s="19">
        <f t="shared" ref="C35:C41" si="12">E35/$D$33</f>
        <v>687500</v>
      </c>
      <c r="D35" s="22"/>
      <c r="E35" s="19">
        <f>'Исходные данные'!$C$40*'Исходные данные'!$H$5</f>
        <v>112500</v>
      </c>
      <c r="F35" s="12">
        <f>(C8*D15+C17*D15+C26*D24)*'Исходные данные'!$E$5/12*3</f>
        <v>57670.454545454544</v>
      </c>
      <c r="G35" s="28"/>
      <c r="H35" s="21"/>
      <c r="I35" s="20"/>
      <c r="J35" s="19">
        <f t="shared" ref="J35:J41" si="13">C8+C17+C26+C35</f>
        <v>4187500</v>
      </c>
      <c r="K35" s="22"/>
      <c r="L35" s="19">
        <f t="shared" ref="L35:L41" si="14">E8+E17+E26+E35</f>
        <v>312500</v>
      </c>
      <c r="M35" s="22"/>
      <c r="N35" s="20"/>
    </row>
    <row r="36" spans="1:14" s="1" customFormat="1" x14ac:dyDescent="0.25">
      <c r="A36" s="15"/>
      <c r="B36" s="6" t="str">
        <f t="shared" si="4"/>
        <v>M*</v>
      </c>
      <c r="C36" s="19">
        <f t="shared" si="12"/>
        <v>412500</v>
      </c>
      <c r="D36" s="22"/>
      <c r="E36" s="19">
        <f>'Исходные данные'!$C$40*'Исходные данные'!$H$6</f>
        <v>67500</v>
      </c>
      <c r="F36" s="12"/>
      <c r="G36" s="28"/>
      <c r="H36" s="21"/>
      <c r="I36" s="20"/>
      <c r="J36" s="19">
        <f t="shared" si="13"/>
        <v>2512500</v>
      </c>
      <c r="K36" s="22"/>
      <c r="L36" s="19">
        <f t="shared" si="14"/>
        <v>187500</v>
      </c>
      <c r="M36" s="22"/>
      <c r="N36" s="20"/>
    </row>
    <row r="37" spans="1:14" s="1" customFormat="1" x14ac:dyDescent="0.25">
      <c r="A37" s="15"/>
      <c r="B37" s="12" t="str">
        <f t="shared" si="4"/>
        <v>F</v>
      </c>
      <c r="C37" s="19">
        <f>E37/$D$33</f>
        <v>137500</v>
      </c>
      <c r="D37" s="22"/>
      <c r="E37" s="19">
        <f>'Исходные данные'!$C$40*'Исходные данные'!$H$7</f>
        <v>22500</v>
      </c>
      <c r="F37" s="12"/>
      <c r="G37" s="28"/>
      <c r="H37" s="21"/>
      <c r="I37" s="20"/>
      <c r="J37" s="19">
        <f t="shared" si="13"/>
        <v>837500</v>
      </c>
      <c r="K37" s="22"/>
      <c r="L37" s="19">
        <f t="shared" si="14"/>
        <v>62500</v>
      </c>
      <c r="M37" s="22"/>
      <c r="N37" s="20"/>
    </row>
    <row r="38" spans="1:14" s="1" customFormat="1" x14ac:dyDescent="0.25">
      <c r="A38" s="15"/>
      <c r="B38" s="6" t="str">
        <f t="shared" si="4"/>
        <v>С*</v>
      </c>
      <c r="C38" s="19">
        <f t="shared" si="12"/>
        <v>137500</v>
      </c>
      <c r="D38" s="22"/>
      <c r="E38" s="19">
        <f>'Исходные данные'!$C$40*'Исходные данные'!$H$8</f>
        <v>22500</v>
      </c>
      <c r="F38" s="12"/>
      <c r="G38" s="28"/>
      <c r="H38" s="21"/>
      <c r="I38" s="20"/>
      <c r="J38" s="19">
        <f t="shared" si="13"/>
        <v>837500</v>
      </c>
      <c r="K38" s="22"/>
      <c r="L38" s="19">
        <f t="shared" si="14"/>
        <v>62500</v>
      </c>
      <c r="M38" s="22"/>
      <c r="N38" s="20"/>
    </row>
    <row r="39" spans="1:14" s="1" customFormat="1" x14ac:dyDescent="0.25">
      <c r="A39" s="15"/>
      <c r="B39" s="12" t="str">
        <f t="shared" si="4"/>
        <v xml:space="preserve">I </v>
      </c>
      <c r="C39" s="19">
        <f t="shared" si="12"/>
        <v>137500</v>
      </c>
      <c r="D39" s="22"/>
      <c r="E39" s="19">
        <f>'Исходные данные'!$C$40*'Исходные данные'!$H$9</f>
        <v>22500</v>
      </c>
      <c r="F39" s="12"/>
      <c r="G39" s="28"/>
      <c r="H39" s="21"/>
      <c r="I39" s="20"/>
      <c r="J39" s="19">
        <f t="shared" si="13"/>
        <v>837500</v>
      </c>
      <c r="K39" s="22"/>
      <c r="L39" s="19">
        <f t="shared" si="14"/>
        <v>62500</v>
      </c>
      <c r="M39" s="22"/>
      <c r="N39" s="20"/>
    </row>
    <row r="40" spans="1:14" s="1" customFormat="1" x14ac:dyDescent="0.25">
      <c r="A40" s="15"/>
      <c r="B40" s="6" t="str">
        <f t="shared" si="4"/>
        <v>R*</v>
      </c>
      <c r="C40" s="19">
        <f t="shared" si="12"/>
        <v>275000</v>
      </c>
      <c r="D40" s="22"/>
      <c r="E40" s="19">
        <f>'Исходные данные'!$C$40*'Исходные данные'!$H$10</f>
        <v>45000</v>
      </c>
      <c r="F40" s="12"/>
      <c r="G40" s="28"/>
      <c r="H40" s="21"/>
      <c r="I40" s="20"/>
      <c r="J40" s="19">
        <f t="shared" si="13"/>
        <v>1675000</v>
      </c>
      <c r="K40" s="22"/>
      <c r="L40" s="19">
        <f t="shared" si="14"/>
        <v>125000</v>
      </c>
      <c r="M40" s="22"/>
      <c r="N40" s="20"/>
    </row>
    <row r="41" spans="1:14" s="1" customFormat="1" x14ac:dyDescent="0.25">
      <c r="A41" s="15"/>
      <c r="B41" s="6" t="str">
        <f t="shared" si="4"/>
        <v>А*</v>
      </c>
      <c r="C41" s="19">
        <f t="shared" si="12"/>
        <v>137500</v>
      </c>
      <c r="D41" s="22"/>
      <c r="E41" s="19">
        <f>'Исходные данные'!$C$40*'Исходные данные'!$H$11</f>
        <v>22500</v>
      </c>
      <c r="F41" s="12"/>
      <c r="G41" s="28"/>
      <c r="H41" s="21"/>
      <c r="I41" s="20"/>
      <c r="J41" s="19">
        <f t="shared" si="13"/>
        <v>837500</v>
      </c>
      <c r="K41" s="22"/>
      <c r="L41" s="19">
        <f t="shared" si="14"/>
        <v>62500</v>
      </c>
      <c r="M41" s="22"/>
      <c r="N41" s="20"/>
    </row>
    <row r="42" spans="1:14" s="1" customFormat="1" x14ac:dyDescent="0.25">
      <c r="A42" s="13" t="s">
        <v>24</v>
      </c>
      <c r="B42" s="4" t="str">
        <f t="shared" si="4"/>
        <v>ВСЕГО:</v>
      </c>
      <c r="C42" s="18">
        <f>SUM(C43:C50)</f>
        <v>1375000</v>
      </c>
      <c r="D42" s="21">
        <f>'Исходные данные'!E41</f>
        <v>0.29090909090909089</v>
      </c>
      <c r="E42" s="18">
        <f>SUM(E43:E50)</f>
        <v>400000</v>
      </c>
      <c r="F42" s="18">
        <f>SUM(F43:F50)</f>
        <v>57670.454545454544</v>
      </c>
      <c r="G42" s="27">
        <f>SUM(F43:F50)</f>
        <v>57670.454545454544</v>
      </c>
      <c r="H42" s="21">
        <f>G42/(C6+C15+C24)</f>
        <v>4.1193181818181815E-3</v>
      </c>
      <c r="I42" s="20">
        <f>H42/D42/3*12</f>
        <v>5.6640625E-2</v>
      </c>
      <c r="J42" s="18">
        <f>SUM(J43:J50)</f>
        <v>18125000</v>
      </c>
      <c r="K42" s="21">
        <f>L42/J42</f>
        <v>9.1034482758620694E-2</v>
      </c>
      <c r="L42" s="18">
        <f>SUM(L43:L50)</f>
        <v>1650000</v>
      </c>
      <c r="M42" s="22">
        <f>(G6+G15+G24+G33+G42)/J42</f>
        <v>1.4E-2</v>
      </c>
      <c r="N42" s="20">
        <f>M42/K42/3*12</f>
        <v>0.61515151515151512</v>
      </c>
    </row>
    <row r="43" spans="1:14" s="1" customFormat="1" x14ac:dyDescent="0.25">
      <c r="A43" s="15"/>
      <c r="B43" s="12" t="str">
        <f t="shared" si="4"/>
        <v>V</v>
      </c>
      <c r="C43" s="19">
        <f t="shared" ref="C43:C50" si="15">E43/$D$42</f>
        <v>412500</v>
      </c>
      <c r="D43" s="22"/>
      <c r="E43" s="19">
        <f>'Исходные данные'!$C$41*'Исходные данные'!$H$4</f>
        <v>120000</v>
      </c>
      <c r="F43" s="12"/>
      <c r="G43" s="28"/>
      <c r="H43" s="21"/>
      <c r="I43" s="20"/>
      <c r="J43" s="19">
        <f>C7+C16+C25+C34+C43</f>
        <v>5437500</v>
      </c>
      <c r="K43" s="22"/>
      <c r="L43" s="19">
        <f>E7+E16+E25+E34+E43</f>
        <v>495000</v>
      </c>
      <c r="M43" s="22"/>
      <c r="N43" s="20"/>
    </row>
    <row r="44" spans="1:14" s="1" customFormat="1" x14ac:dyDescent="0.25">
      <c r="A44" s="15"/>
      <c r="B44" s="6" t="str">
        <f t="shared" si="4"/>
        <v>G*</v>
      </c>
      <c r="C44" s="19">
        <f t="shared" si="15"/>
        <v>343750</v>
      </c>
      <c r="D44" s="22"/>
      <c r="E44" s="19">
        <f>'Исходные данные'!$C$41*'Исходные данные'!$H$5</f>
        <v>100000</v>
      </c>
      <c r="F44" s="12">
        <f>(C8*D15+C17*D15+C26*D24)*'Исходные данные'!$E$5/12*3</f>
        <v>57670.454545454544</v>
      </c>
      <c r="G44" s="28"/>
      <c r="H44" s="21"/>
      <c r="I44" s="20"/>
      <c r="J44" s="19">
        <f t="shared" ref="J44:J49" si="16">C8+C17+C26+C35+C44</f>
        <v>4531250</v>
      </c>
      <c r="K44" s="22"/>
      <c r="L44" s="19">
        <f t="shared" ref="L44:L50" si="17">E8+E17+E26+E35+E44</f>
        <v>412500</v>
      </c>
      <c r="M44" s="22"/>
      <c r="N44" s="20"/>
    </row>
    <row r="45" spans="1:14" s="1" customFormat="1" x14ac:dyDescent="0.25">
      <c r="A45" s="15"/>
      <c r="B45" s="6" t="str">
        <f t="shared" si="4"/>
        <v>M*</v>
      </c>
      <c r="C45" s="19">
        <f t="shared" si="15"/>
        <v>206250</v>
      </c>
      <c r="D45" s="22"/>
      <c r="E45" s="19">
        <f>'Исходные данные'!$C$41*'Исходные данные'!$H$6</f>
        <v>60000</v>
      </c>
      <c r="F45" s="12"/>
      <c r="G45" s="28"/>
      <c r="H45" s="21"/>
      <c r="I45" s="20"/>
      <c r="J45" s="19">
        <f t="shared" si="16"/>
        <v>2718750</v>
      </c>
      <c r="K45" s="22"/>
      <c r="L45" s="19">
        <f t="shared" si="17"/>
        <v>247500</v>
      </c>
      <c r="M45" s="22"/>
      <c r="N45" s="20"/>
    </row>
    <row r="46" spans="1:14" s="1" customFormat="1" x14ac:dyDescent="0.25">
      <c r="A46" s="15"/>
      <c r="B46" s="12" t="str">
        <f t="shared" si="4"/>
        <v>F</v>
      </c>
      <c r="C46" s="19">
        <f t="shared" si="15"/>
        <v>68750</v>
      </c>
      <c r="D46" s="22"/>
      <c r="E46" s="19">
        <f>'Исходные данные'!$C$41*'Исходные данные'!$H$7</f>
        <v>20000</v>
      </c>
      <c r="F46" s="12"/>
      <c r="G46" s="28"/>
      <c r="H46" s="21"/>
      <c r="I46" s="20"/>
      <c r="J46" s="19">
        <f t="shared" si="16"/>
        <v>906250</v>
      </c>
      <c r="K46" s="22"/>
      <c r="L46" s="19">
        <f t="shared" si="17"/>
        <v>82500</v>
      </c>
      <c r="M46" s="22"/>
      <c r="N46" s="20"/>
    </row>
    <row r="47" spans="1:14" s="1" customFormat="1" x14ac:dyDescent="0.25">
      <c r="A47" s="15"/>
      <c r="B47" s="6" t="str">
        <f t="shared" ref="B47:B78" si="18">B38</f>
        <v>С*</v>
      </c>
      <c r="C47" s="19">
        <f t="shared" si="15"/>
        <v>68750</v>
      </c>
      <c r="D47" s="22"/>
      <c r="E47" s="19">
        <f>'Исходные данные'!$C$41*'Исходные данные'!$H$8</f>
        <v>20000</v>
      </c>
      <c r="F47" s="12"/>
      <c r="G47" s="28"/>
      <c r="H47" s="21"/>
      <c r="I47" s="20"/>
      <c r="J47" s="19">
        <f t="shared" si="16"/>
        <v>906250</v>
      </c>
      <c r="K47" s="22"/>
      <c r="L47" s="19">
        <f t="shared" si="17"/>
        <v>82500</v>
      </c>
      <c r="M47" s="22"/>
      <c r="N47" s="20"/>
    </row>
    <row r="48" spans="1:14" s="1" customFormat="1" x14ac:dyDescent="0.25">
      <c r="A48" s="15"/>
      <c r="B48" s="12" t="str">
        <f t="shared" si="18"/>
        <v xml:space="preserve">I </v>
      </c>
      <c r="C48" s="19">
        <f t="shared" si="15"/>
        <v>68750</v>
      </c>
      <c r="D48" s="22"/>
      <c r="E48" s="19">
        <f>'Исходные данные'!$C$41*'Исходные данные'!$H$9</f>
        <v>20000</v>
      </c>
      <c r="F48" s="12"/>
      <c r="G48" s="28"/>
      <c r="H48" s="21"/>
      <c r="I48" s="20"/>
      <c r="J48" s="19">
        <f t="shared" si="16"/>
        <v>906250</v>
      </c>
      <c r="K48" s="22"/>
      <c r="L48" s="19">
        <f t="shared" si="17"/>
        <v>82500</v>
      </c>
      <c r="M48" s="22"/>
      <c r="N48" s="20"/>
    </row>
    <row r="49" spans="1:14" s="1" customFormat="1" x14ac:dyDescent="0.25">
      <c r="A49" s="15"/>
      <c r="B49" s="6" t="str">
        <f t="shared" si="18"/>
        <v>R*</v>
      </c>
      <c r="C49" s="19">
        <f t="shared" si="15"/>
        <v>137500</v>
      </c>
      <c r="D49" s="22"/>
      <c r="E49" s="19">
        <f>'Исходные данные'!$C$41*'Исходные данные'!$H$10</f>
        <v>40000</v>
      </c>
      <c r="F49" s="12"/>
      <c r="G49" s="28"/>
      <c r="H49" s="21"/>
      <c r="I49" s="20"/>
      <c r="J49" s="19">
        <f t="shared" si="16"/>
        <v>1812500</v>
      </c>
      <c r="K49" s="22"/>
      <c r="L49" s="19">
        <f t="shared" si="17"/>
        <v>165000</v>
      </c>
      <c r="M49" s="22"/>
      <c r="N49" s="20"/>
    </row>
    <row r="50" spans="1:14" s="1" customFormat="1" x14ac:dyDescent="0.25">
      <c r="A50" s="15"/>
      <c r="B50" s="6" t="str">
        <f t="shared" si="18"/>
        <v>А*</v>
      </c>
      <c r="C50" s="19">
        <f t="shared" si="15"/>
        <v>68750</v>
      </c>
      <c r="D50" s="22"/>
      <c r="E50" s="19">
        <f>'Исходные данные'!$C$41*'Исходные данные'!$H$11</f>
        <v>20000</v>
      </c>
      <c r="F50" s="12"/>
      <c r="G50" s="28"/>
      <c r="H50" s="21"/>
      <c r="I50" s="20"/>
      <c r="J50" s="19">
        <f>C14+C23+C32+C41+C50</f>
        <v>906250</v>
      </c>
      <c r="K50" s="22"/>
      <c r="L50" s="19">
        <f t="shared" si="17"/>
        <v>82500</v>
      </c>
      <c r="M50" s="22"/>
      <c r="N50" s="20"/>
    </row>
    <row r="51" spans="1:14" s="1" customFormat="1" x14ac:dyDescent="0.25">
      <c r="A51" s="13" t="s">
        <v>25</v>
      </c>
      <c r="B51" s="4" t="str">
        <f t="shared" si="18"/>
        <v>ВСЕГО:</v>
      </c>
      <c r="C51" s="18">
        <f>SUM(C52:C59)</f>
        <v>1125000</v>
      </c>
      <c r="D51" s="21">
        <f>'Исходные данные'!E42</f>
        <v>0.44444444444444442</v>
      </c>
      <c r="E51" s="18">
        <f>SUM(E52:E59)</f>
        <v>500000</v>
      </c>
      <c r="F51" s="18">
        <f>SUM(F52:F59)</f>
        <v>213352.27272727271</v>
      </c>
      <c r="G51" s="27">
        <f>SUM(F52:F59)</f>
        <v>213352.27272727271</v>
      </c>
      <c r="H51" s="21">
        <f>G51/(C6+C15+C24+C33)</f>
        <v>1.2737449118046132E-2</v>
      </c>
      <c r="I51" s="20">
        <f>H51/D51/3*12</f>
        <v>0.11463704206241521</v>
      </c>
      <c r="J51" s="18">
        <f>SUM(J52:J59)</f>
        <v>19250000</v>
      </c>
      <c r="K51" s="21">
        <f>L51/J51</f>
        <v>0.11168831168831168</v>
      </c>
      <c r="L51" s="18">
        <f>SUM(L52:L59)</f>
        <v>2150000</v>
      </c>
      <c r="M51" s="22">
        <f>(G6+G15+G24+G33+G42+G51)/J51</f>
        <v>2.4265053128689491E-2</v>
      </c>
      <c r="N51" s="20">
        <f t="shared" ref="N51" si="19">M51/K51/3*12</f>
        <v>0.8690274841437633</v>
      </c>
    </row>
    <row r="52" spans="1:14" s="1" customFormat="1" x14ac:dyDescent="0.25">
      <c r="A52" s="15"/>
      <c r="B52" s="12" t="str">
        <f t="shared" si="18"/>
        <v>V</v>
      </c>
      <c r="C52" s="19">
        <f t="shared" ref="C52:C59" si="20">E52/$D$51</f>
        <v>337500</v>
      </c>
      <c r="D52" s="22"/>
      <c r="E52" s="19">
        <f>'Исходные данные'!$C$42*'Исходные данные'!$H$4</f>
        <v>150000</v>
      </c>
      <c r="F52" s="12">
        <f>(C34*D33)*'Исходные данные'!$E$4/12*3</f>
        <v>67500</v>
      </c>
      <c r="G52" s="28"/>
      <c r="H52" s="21"/>
      <c r="I52" s="20"/>
      <c r="J52" s="19">
        <f>C7+C16+C25+C34+C43+C52</f>
        <v>5775000</v>
      </c>
      <c r="K52" s="22"/>
      <c r="L52" s="19">
        <f>E7+E16+E25+E34+E43+E52</f>
        <v>645000</v>
      </c>
      <c r="M52" s="22"/>
      <c r="N52" s="20"/>
    </row>
    <row r="53" spans="1:14" s="1" customFormat="1" x14ac:dyDescent="0.25">
      <c r="A53" s="15"/>
      <c r="B53" s="6" t="str">
        <f t="shared" si="18"/>
        <v>G*</v>
      </c>
      <c r="C53" s="19">
        <f t="shared" si="20"/>
        <v>281250</v>
      </c>
      <c r="D53" s="22"/>
      <c r="E53" s="19">
        <f>'Исходные данные'!$C$42*'Исходные данные'!$H$5</f>
        <v>125000</v>
      </c>
      <c r="F53" s="12">
        <f>(C8*D15+C17*D15+C26*D24+C35*D33)*'Исходные данные'!$E$5/12*3</f>
        <v>85795.454545454544</v>
      </c>
      <c r="G53" s="28"/>
      <c r="H53" s="21"/>
      <c r="I53" s="20"/>
      <c r="J53" s="19">
        <f t="shared" ref="J53:J59" si="21">C8+C17+C26+C35+C44+C53</f>
        <v>4812500</v>
      </c>
      <c r="K53" s="22"/>
      <c r="L53" s="19">
        <f t="shared" ref="L53:L59" si="22">E8+E17+E26+E35+E44+E53</f>
        <v>537500</v>
      </c>
      <c r="M53" s="22"/>
      <c r="N53" s="20"/>
    </row>
    <row r="54" spans="1:14" s="1" customFormat="1" x14ac:dyDescent="0.25">
      <c r="A54" s="15"/>
      <c r="B54" s="6" t="str">
        <f t="shared" si="18"/>
        <v>M*</v>
      </c>
      <c r="C54" s="19">
        <f t="shared" si="20"/>
        <v>168750</v>
      </c>
      <c r="D54" s="22"/>
      <c r="E54" s="19">
        <f>'Исходные данные'!$C$42*'Исходные данные'!$H$6</f>
        <v>75000</v>
      </c>
      <c r="F54" s="12"/>
      <c r="G54" s="28"/>
      <c r="H54" s="21"/>
      <c r="I54" s="20"/>
      <c r="J54" s="19">
        <f t="shared" si="21"/>
        <v>2887500</v>
      </c>
      <c r="K54" s="22"/>
      <c r="L54" s="19">
        <f t="shared" si="22"/>
        <v>322500</v>
      </c>
      <c r="M54" s="22"/>
      <c r="N54" s="20"/>
    </row>
    <row r="55" spans="1:14" s="1" customFormat="1" x14ac:dyDescent="0.25">
      <c r="A55" s="15"/>
      <c r="B55" s="12" t="str">
        <f t="shared" si="18"/>
        <v>F</v>
      </c>
      <c r="C55" s="19">
        <f t="shared" si="20"/>
        <v>56250</v>
      </c>
      <c r="D55" s="22"/>
      <c r="E55" s="19">
        <f>'Исходные данные'!$C$42*'Исходные данные'!$H$7</f>
        <v>25000</v>
      </c>
      <c r="F55" s="12">
        <f>(C10*D15+C19*D15+C28*D24+C37*D33)*'Исходные данные'!$E$7/12*3</f>
        <v>34318.181818181816</v>
      </c>
      <c r="G55" s="28"/>
      <c r="H55" s="21"/>
      <c r="I55" s="20"/>
      <c r="J55" s="19">
        <f t="shared" si="21"/>
        <v>962500</v>
      </c>
      <c r="K55" s="22"/>
      <c r="L55" s="19">
        <f t="shared" si="22"/>
        <v>107500</v>
      </c>
      <c r="M55" s="22"/>
      <c r="N55" s="20"/>
    </row>
    <row r="56" spans="1:14" s="1" customFormat="1" x14ac:dyDescent="0.25">
      <c r="A56" s="15"/>
      <c r="B56" s="6" t="str">
        <f t="shared" si="18"/>
        <v>С*</v>
      </c>
      <c r="C56" s="19">
        <f t="shared" si="20"/>
        <v>56250</v>
      </c>
      <c r="D56" s="22"/>
      <c r="E56" s="19">
        <f>'Исходные данные'!$C$42*'Исходные данные'!$H$8</f>
        <v>25000</v>
      </c>
      <c r="F56" s="12">
        <f>(C11*D15+C20*D15+C29*D24+C38*D33)*'Исходные данные'!$E$8/12*3</f>
        <v>8579.545454545454</v>
      </c>
      <c r="G56" s="28"/>
      <c r="H56" s="21"/>
      <c r="I56" s="20"/>
      <c r="J56" s="19">
        <f t="shared" si="21"/>
        <v>962500</v>
      </c>
      <c r="K56" s="22"/>
      <c r="L56" s="19">
        <f t="shared" si="22"/>
        <v>107500</v>
      </c>
      <c r="M56" s="22"/>
      <c r="N56" s="20"/>
    </row>
    <row r="57" spans="1:14" s="1" customFormat="1" x14ac:dyDescent="0.25">
      <c r="A57" s="15"/>
      <c r="B57" s="12" t="str">
        <f t="shared" si="18"/>
        <v xml:space="preserve">I </v>
      </c>
      <c r="C57" s="19">
        <f t="shared" si="20"/>
        <v>56250</v>
      </c>
      <c r="D57" s="22"/>
      <c r="E57" s="19">
        <f>'Исходные данные'!$C$42*'Исходные данные'!$H$9</f>
        <v>25000</v>
      </c>
      <c r="F57" s="12">
        <f>(C12*D15+C21*D15+C30*D24+C39*D33)*'Исходные данные'!$E$9/12*3</f>
        <v>0</v>
      </c>
      <c r="G57" s="28"/>
      <c r="H57" s="21"/>
      <c r="I57" s="20"/>
      <c r="J57" s="19">
        <f t="shared" si="21"/>
        <v>962500</v>
      </c>
      <c r="K57" s="22"/>
      <c r="L57" s="19">
        <f t="shared" si="22"/>
        <v>107500</v>
      </c>
      <c r="M57" s="22"/>
      <c r="N57" s="20"/>
    </row>
    <row r="58" spans="1:14" s="1" customFormat="1" x14ac:dyDescent="0.25">
      <c r="A58" s="15"/>
      <c r="B58" s="6" t="str">
        <f t="shared" si="18"/>
        <v>R*</v>
      </c>
      <c r="C58" s="19">
        <f t="shared" si="20"/>
        <v>112500</v>
      </c>
      <c r="D58" s="22"/>
      <c r="E58" s="19">
        <f>'Исходные данные'!$C$42*'Исходные данные'!$H$10</f>
        <v>50000</v>
      </c>
      <c r="F58" s="12">
        <f>(C13*D15+C22*D15+C31*D24+C40*D33)*'Исходные данные'!$E$10/12*3</f>
        <v>17159.090909090908</v>
      </c>
      <c r="G58" s="28"/>
      <c r="H58" s="21"/>
      <c r="I58" s="20"/>
      <c r="J58" s="19">
        <f t="shared" si="21"/>
        <v>1925000</v>
      </c>
      <c r="K58" s="22"/>
      <c r="L58" s="19">
        <f t="shared" si="22"/>
        <v>215000</v>
      </c>
      <c r="M58" s="22"/>
      <c r="N58" s="20"/>
    </row>
    <row r="59" spans="1:14" s="1" customFormat="1" x14ac:dyDescent="0.25">
      <c r="A59" s="15"/>
      <c r="B59" s="6" t="str">
        <f t="shared" si="18"/>
        <v>А*</v>
      </c>
      <c r="C59" s="19">
        <f t="shared" si="20"/>
        <v>56250</v>
      </c>
      <c r="D59" s="22"/>
      <c r="E59" s="19">
        <f>'Исходные данные'!$C$42*'Исходные данные'!$H$11</f>
        <v>25000</v>
      </c>
      <c r="F59" s="12"/>
      <c r="G59" s="28"/>
      <c r="H59" s="21"/>
      <c r="I59" s="20"/>
      <c r="J59" s="19">
        <f t="shared" si="21"/>
        <v>962500</v>
      </c>
      <c r="K59" s="22"/>
      <c r="L59" s="19">
        <f t="shared" si="22"/>
        <v>107500</v>
      </c>
      <c r="M59" s="22"/>
      <c r="N59" s="20"/>
    </row>
    <row r="60" spans="1:14" s="1" customFormat="1" x14ac:dyDescent="0.25">
      <c r="A60" s="13" t="s">
        <v>26</v>
      </c>
      <c r="B60" s="4" t="str">
        <f t="shared" si="18"/>
        <v>ВСЕГО:</v>
      </c>
      <c r="C60" s="18">
        <f>SUM(C61:C68)</f>
        <v>812500</v>
      </c>
      <c r="D60" s="21">
        <f>'Исходные данные'!E43</f>
        <v>0.61538461538461542</v>
      </c>
      <c r="E60" s="18">
        <f>SUM(E61:E68)</f>
        <v>500000</v>
      </c>
      <c r="F60" s="18">
        <f>SUM(F61:F68)</f>
        <v>214034.09090909091</v>
      </c>
      <c r="G60" s="27">
        <f>SUM(F61:F68)</f>
        <v>214034.09090909091</v>
      </c>
      <c r="H60" s="21">
        <f>G60/(C6+C15+C24+C33+C42)</f>
        <v>1.1808777429467085E-2</v>
      </c>
      <c r="I60" s="20">
        <f>H60/D60/3*12</f>
        <v>7.6757053291536051E-2</v>
      </c>
      <c r="J60" s="18">
        <f>SUM(J61:J68)</f>
        <v>20062500</v>
      </c>
      <c r="K60" s="21">
        <f>L60/J60</f>
        <v>0.13208722741433021</v>
      </c>
      <c r="L60" s="18">
        <f>SUM(L61:L68)</f>
        <v>2650000</v>
      </c>
      <c r="M60" s="22">
        <f>(G6+G15+G24+G33+G42+G51+G60)/J60</f>
        <v>3.3950722175021243E-2</v>
      </c>
      <c r="N60" s="20">
        <f t="shared" ref="N60" si="23">M60/K60/3*12</f>
        <v>1.028130360205832</v>
      </c>
    </row>
    <row r="61" spans="1:14" s="1" customFormat="1" x14ac:dyDescent="0.25">
      <c r="A61" s="15"/>
      <c r="B61" s="12" t="str">
        <f t="shared" si="18"/>
        <v>V</v>
      </c>
      <c r="C61" s="19">
        <f t="shared" ref="C61:C68" si="24">E61/$D$60</f>
        <v>243750</v>
      </c>
      <c r="D61" s="22"/>
      <c r="E61" s="19">
        <f>'Исходные данные'!$C$43*'Исходные данные'!$H$4</f>
        <v>150000</v>
      </c>
      <c r="F61" s="12">
        <f>(C43*D42)*'Исходные данные'!$E$4/12*3</f>
        <v>60000</v>
      </c>
      <c r="G61" s="28"/>
      <c r="H61" s="21"/>
      <c r="I61" s="20"/>
      <c r="J61" s="19">
        <f>C7+C16+C25+C34+C43+C52+C61</f>
        <v>6018750</v>
      </c>
      <c r="K61" s="22"/>
      <c r="L61" s="19">
        <f>E7+E16+E25+E34+E43+E52+E61</f>
        <v>795000</v>
      </c>
      <c r="M61" s="22"/>
      <c r="N61" s="20"/>
    </row>
    <row r="62" spans="1:14" s="1" customFormat="1" x14ac:dyDescent="0.25">
      <c r="A62" s="15"/>
      <c r="B62" s="6" t="str">
        <f t="shared" si="18"/>
        <v>G*</v>
      </c>
      <c r="C62" s="19">
        <f t="shared" si="24"/>
        <v>203125</v>
      </c>
      <c r="D62" s="22"/>
      <c r="E62" s="19">
        <f>'Исходные данные'!$C$43*'Исходные данные'!$H$5</f>
        <v>125000</v>
      </c>
      <c r="F62" s="12">
        <f>(C8*D15+C17*D15+C26*D24+C35*D33+C44*D42)*'Исходные данные'!$E$5/12*3</f>
        <v>110795.45454545456</v>
      </c>
      <c r="G62" s="28"/>
      <c r="H62" s="21"/>
      <c r="I62" s="20"/>
      <c r="J62" s="19">
        <f t="shared" ref="J62:J68" si="25">C8+C17+C26+C35+C44+C53+C62</f>
        <v>5015625</v>
      </c>
      <c r="K62" s="22"/>
      <c r="L62" s="19">
        <f t="shared" ref="L62:L68" si="26">E8+E17+E26+E35+E44+E53+E62</f>
        <v>662500</v>
      </c>
      <c r="M62" s="22"/>
      <c r="N62" s="20"/>
    </row>
    <row r="63" spans="1:14" s="1" customFormat="1" x14ac:dyDescent="0.25">
      <c r="A63" s="15"/>
      <c r="B63" s="6" t="str">
        <f t="shared" si="18"/>
        <v>M*</v>
      </c>
      <c r="C63" s="19">
        <f t="shared" si="24"/>
        <v>121875</v>
      </c>
      <c r="D63" s="22"/>
      <c r="E63" s="19">
        <f>'Исходные данные'!$C$43*'Исходные данные'!$H$6</f>
        <v>75000</v>
      </c>
      <c r="F63" s="12"/>
      <c r="G63" s="28"/>
      <c r="H63" s="21"/>
      <c r="I63" s="20"/>
      <c r="J63" s="19">
        <f t="shared" si="25"/>
        <v>3009375</v>
      </c>
      <c r="K63" s="22"/>
      <c r="L63" s="19">
        <f t="shared" si="26"/>
        <v>397500</v>
      </c>
      <c r="M63" s="22"/>
      <c r="N63" s="20"/>
    </row>
    <row r="64" spans="1:14" s="1" customFormat="1" x14ac:dyDescent="0.25">
      <c r="A64" s="15"/>
      <c r="B64" s="12" t="str">
        <f t="shared" si="18"/>
        <v>F</v>
      </c>
      <c r="C64" s="19">
        <f t="shared" si="24"/>
        <v>40625</v>
      </c>
      <c r="D64" s="22"/>
      <c r="E64" s="19">
        <f>'Исходные данные'!$C$43*'Исходные данные'!$H$7</f>
        <v>25000</v>
      </c>
      <c r="F64" s="12">
        <f>(C46*D42)*'Исходные данные'!$E$7/12*3</f>
        <v>10000</v>
      </c>
      <c r="G64" s="28"/>
      <c r="H64" s="21"/>
      <c r="I64" s="20"/>
      <c r="J64" s="19">
        <f t="shared" si="25"/>
        <v>1003125</v>
      </c>
      <c r="K64" s="22"/>
      <c r="L64" s="19">
        <f t="shared" si="26"/>
        <v>132500</v>
      </c>
      <c r="M64" s="22"/>
      <c r="N64" s="20"/>
    </row>
    <row r="65" spans="1:14" s="1" customFormat="1" x14ac:dyDescent="0.25">
      <c r="A65" s="15"/>
      <c r="B65" s="6" t="str">
        <f t="shared" si="18"/>
        <v>С*</v>
      </c>
      <c r="C65" s="19">
        <f t="shared" si="24"/>
        <v>40625</v>
      </c>
      <c r="D65" s="22"/>
      <c r="E65" s="19">
        <f>'Исходные данные'!$C$43*'Исходные данные'!$H$8</f>
        <v>25000</v>
      </c>
      <c r="F65" s="12">
        <f>(C11*D15+C20*D15+C29*D24+C38*D33+C47*D42)*'Исходные данные'!$E$8/12*3</f>
        <v>11079.545454545454</v>
      </c>
      <c r="G65" s="28"/>
      <c r="H65" s="21"/>
      <c r="I65" s="20"/>
      <c r="J65" s="19">
        <f t="shared" si="25"/>
        <v>1003125</v>
      </c>
      <c r="K65" s="22"/>
      <c r="L65" s="19">
        <f t="shared" si="26"/>
        <v>132500</v>
      </c>
      <c r="M65" s="22"/>
      <c r="N65" s="20"/>
    </row>
    <row r="66" spans="1:14" s="1" customFormat="1" x14ac:dyDescent="0.25">
      <c r="A66" s="15"/>
      <c r="B66" s="12" t="str">
        <f t="shared" si="18"/>
        <v xml:space="preserve">I </v>
      </c>
      <c r="C66" s="19">
        <f t="shared" si="24"/>
        <v>40625</v>
      </c>
      <c r="D66" s="22"/>
      <c r="E66" s="19">
        <f>'Исходные данные'!$C$43*'Исходные данные'!$H$9</f>
        <v>25000</v>
      </c>
      <c r="F66" s="12">
        <f>(C48*D42)*'Исходные данные'!$E$9/12*3</f>
        <v>0</v>
      </c>
      <c r="G66" s="28"/>
      <c r="H66" s="21"/>
      <c r="I66" s="20"/>
      <c r="J66" s="19">
        <f t="shared" si="25"/>
        <v>1003125</v>
      </c>
      <c r="K66" s="22"/>
      <c r="L66" s="19">
        <f t="shared" si="26"/>
        <v>132500</v>
      </c>
      <c r="M66" s="22"/>
      <c r="N66" s="20"/>
    </row>
    <row r="67" spans="1:14" s="1" customFormat="1" x14ac:dyDescent="0.25">
      <c r="A67" s="15"/>
      <c r="B67" s="6" t="str">
        <f t="shared" si="18"/>
        <v>R*</v>
      </c>
      <c r="C67" s="19">
        <f t="shared" si="24"/>
        <v>81250</v>
      </c>
      <c r="D67" s="22"/>
      <c r="E67" s="19">
        <f>'Исходные данные'!$C$43*'Исходные данные'!$H$10</f>
        <v>50000</v>
      </c>
      <c r="F67" s="12">
        <f>(C13*D15+C22*D15+C31*D24+C40*D33+C49*D42)*'Исходные данные'!$E$10/12*3</f>
        <v>22159.090909090908</v>
      </c>
      <c r="G67" s="28"/>
      <c r="H67" s="21"/>
      <c r="I67" s="20"/>
      <c r="J67" s="19">
        <f t="shared" si="25"/>
        <v>2006250</v>
      </c>
      <c r="K67" s="22"/>
      <c r="L67" s="19">
        <f t="shared" si="26"/>
        <v>265000</v>
      </c>
      <c r="M67" s="22"/>
      <c r="N67" s="20"/>
    </row>
    <row r="68" spans="1:14" s="1" customFormat="1" x14ac:dyDescent="0.25">
      <c r="A68" s="15"/>
      <c r="B68" s="6" t="str">
        <f t="shared" si="18"/>
        <v>А*</v>
      </c>
      <c r="C68" s="19">
        <f t="shared" si="24"/>
        <v>40625</v>
      </c>
      <c r="D68" s="22"/>
      <c r="E68" s="19">
        <f>'Исходные данные'!$C$43*'Исходные данные'!$H$11</f>
        <v>25000</v>
      </c>
      <c r="F68" s="12"/>
      <c r="G68" s="28"/>
      <c r="H68" s="21"/>
      <c r="I68" s="20"/>
      <c r="J68" s="19">
        <f t="shared" si="25"/>
        <v>1003125</v>
      </c>
      <c r="K68" s="22"/>
      <c r="L68" s="19">
        <f t="shared" si="26"/>
        <v>132500</v>
      </c>
      <c r="M68" s="22"/>
      <c r="N68" s="20"/>
    </row>
    <row r="69" spans="1:14" s="1" customFormat="1" x14ac:dyDescent="0.25">
      <c r="A69" s="13" t="s">
        <v>27</v>
      </c>
      <c r="B69" s="4" t="str">
        <f t="shared" si="18"/>
        <v>ВСЕГО:</v>
      </c>
      <c r="C69" s="18">
        <f>SUM(C70:C77)</f>
        <v>534722.22222222236</v>
      </c>
      <c r="D69" s="21">
        <f>'Исходные данные'!E44</f>
        <v>0.84155844155844151</v>
      </c>
      <c r="E69" s="18">
        <f>SUM(E70:E77)</f>
        <v>450000</v>
      </c>
      <c r="F69" s="18">
        <f>SUM(F70:F77)</f>
        <v>442613.63636363635</v>
      </c>
      <c r="G69" s="27">
        <f>SUM(F70:F77)</f>
        <v>442613.63636363635</v>
      </c>
      <c r="H69" s="21">
        <f>G69/(C6+C15+C24+C33+C42+C51)</f>
        <v>2.2992916174734358E-2</v>
      </c>
      <c r="I69" s="20">
        <f>H69/D69/3*12</f>
        <v>0.10928731762065097</v>
      </c>
      <c r="J69" s="18">
        <f>SUM(J70:J77)</f>
        <v>20597222.222222228</v>
      </c>
      <c r="K69" s="21">
        <f>L69/J69</f>
        <v>0.15050573162508424</v>
      </c>
      <c r="L69" s="18">
        <f>SUM(L70:L77)</f>
        <v>3100000</v>
      </c>
      <c r="M69" s="22">
        <f>(G6+G15+G24+G33+G42+G51+G60+G69)/J69</f>
        <v>5.4558327714093038E-2</v>
      </c>
      <c r="N69" s="20">
        <f t="shared" ref="N69" si="27">M69/K69/3*12</f>
        <v>1.45</v>
      </c>
    </row>
    <row r="70" spans="1:14" s="1" customFormat="1" x14ac:dyDescent="0.25">
      <c r="A70" s="15"/>
      <c r="B70" s="12" t="str">
        <f t="shared" si="18"/>
        <v>V</v>
      </c>
      <c r="C70" s="19">
        <f>E70/$D$69</f>
        <v>160416.66666666669</v>
      </c>
      <c r="D70" s="22"/>
      <c r="E70" s="19">
        <f>'Исходные данные'!$C$44*'Исходные данные'!$H$4</f>
        <v>135000</v>
      </c>
      <c r="F70" s="12">
        <f>(C52*D51)*'Исходные данные'!$E$4/12*3</f>
        <v>75000</v>
      </c>
      <c r="G70" s="28"/>
      <c r="H70" s="21"/>
      <c r="I70" s="20"/>
      <c r="J70" s="19">
        <f>C7+C16+C25+C34+C43+C52+C61+C70</f>
        <v>6179166.666666667</v>
      </c>
      <c r="K70" s="22"/>
      <c r="L70" s="19">
        <f>E7+E16+E25+E34+E43+E52+E61+E70</f>
        <v>930000</v>
      </c>
      <c r="M70" s="22"/>
      <c r="N70" s="20"/>
    </row>
    <row r="71" spans="1:14" s="1" customFormat="1" x14ac:dyDescent="0.25">
      <c r="A71" s="15"/>
      <c r="B71" s="6" t="str">
        <f t="shared" si="18"/>
        <v>G*</v>
      </c>
      <c r="C71" s="19">
        <f t="shared" ref="C71:C76" si="28">E71/$D$69</f>
        <v>133680.55555555556</v>
      </c>
      <c r="D71" s="22"/>
      <c r="E71" s="19">
        <f>'Исходные данные'!$C$44*'Исходные данные'!$H$5</f>
        <v>112500</v>
      </c>
      <c r="F71" s="12">
        <f>(C8*D15+C17*D15+C26*D24+C35*D33+C44*D42+C53*D51)*'Исходные данные'!$E$5/12*3</f>
        <v>142045.45454545453</v>
      </c>
      <c r="G71" s="28"/>
      <c r="H71" s="21"/>
      <c r="I71" s="20"/>
      <c r="J71" s="19">
        <f t="shared" ref="J71:J77" si="29">C8+C17+C26+C35+C44+C53+C62+C71</f>
        <v>5149305.555555556</v>
      </c>
      <c r="K71" s="22"/>
      <c r="L71" s="19">
        <f t="shared" ref="L71:L77" si="30">E8+E17+E26+E35+E44+E53+E62+E71</f>
        <v>775000</v>
      </c>
      <c r="M71" s="22"/>
      <c r="N71" s="20"/>
    </row>
    <row r="72" spans="1:14" s="1" customFormat="1" x14ac:dyDescent="0.25">
      <c r="A72" s="15"/>
      <c r="B72" s="6" t="str">
        <f t="shared" si="18"/>
        <v>M*</v>
      </c>
      <c r="C72" s="19">
        <f t="shared" si="28"/>
        <v>80208.333333333343</v>
      </c>
      <c r="D72" s="22"/>
      <c r="E72" s="19">
        <f>'Исходные данные'!$C$44*'Исходные данные'!$H$6</f>
        <v>67500</v>
      </c>
      <c r="F72" s="12">
        <f>(C9*D15+C18*D15+C27*D24+C36*D33+C45*D42+C54*D51)*'Исходные данные'!$F$6/12*3</f>
        <v>170454.54545454547</v>
      </c>
      <c r="G72" s="28"/>
      <c r="H72" s="21"/>
      <c r="I72" s="20"/>
      <c r="J72" s="19">
        <f t="shared" si="29"/>
        <v>3089583.3333333335</v>
      </c>
      <c r="K72" s="22"/>
      <c r="L72" s="19">
        <f t="shared" si="30"/>
        <v>465000</v>
      </c>
      <c r="M72" s="22"/>
      <c r="N72" s="20"/>
    </row>
    <row r="73" spans="1:14" s="1" customFormat="1" x14ac:dyDescent="0.25">
      <c r="A73" s="15"/>
      <c r="B73" s="12" t="str">
        <f t="shared" si="18"/>
        <v>F</v>
      </c>
      <c r="C73" s="19">
        <f t="shared" si="28"/>
        <v>26736.111111111113</v>
      </c>
      <c r="D73" s="22"/>
      <c r="E73" s="19">
        <f>'Исходные данные'!$C$44*'Исходные данные'!$H$7</f>
        <v>22500</v>
      </c>
      <c r="F73" s="12">
        <f>(C55*D51)*'Исходные данные'!$E$7/12*3</f>
        <v>12500</v>
      </c>
      <c r="G73" s="28"/>
      <c r="H73" s="21"/>
      <c r="I73" s="20"/>
      <c r="J73" s="19">
        <f t="shared" si="29"/>
        <v>1029861.1111111111</v>
      </c>
      <c r="K73" s="22"/>
      <c r="L73" s="19">
        <f t="shared" si="30"/>
        <v>155000</v>
      </c>
      <c r="M73" s="22"/>
      <c r="N73" s="20"/>
    </row>
    <row r="74" spans="1:14" s="1" customFormat="1" x14ac:dyDescent="0.25">
      <c r="A74" s="15"/>
      <c r="B74" s="6" t="str">
        <f t="shared" si="18"/>
        <v>С*</v>
      </c>
      <c r="C74" s="19">
        <f t="shared" si="28"/>
        <v>26736.111111111113</v>
      </c>
      <c r="D74" s="22"/>
      <c r="E74" s="19">
        <f>'Исходные данные'!$C$44*'Исходные данные'!$H$8</f>
        <v>22500</v>
      </c>
      <c r="F74" s="12">
        <f>(C11*D15+C20*D15+C29*D24+C38*D33+C47*D42+C56*D51)*'Исходные данные'!$E$8/12*3</f>
        <v>14204.545454545456</v>
      </c>
      <c r="G74" s="28"/>
      <c r="H74" s="21"/>
      <c r="I74" s="20"/>
      <c r="J74" s="19">
        <f t="shared" si="29"/>
        <v>1029861.1111111111</v>
      </c>
      <c r="K74" s="22"/>
      <c r="L74" s="19">
        <f t="shared" si="30"/>
        <v>155000</v>
      </c>
      <c r="M74" s="22"/>
      <c r="N74" s="20"/>
    </row>
    <row r="75" spans="1:14" s="1" customFormat="1" x14ac:dyDescent="0.25">
      <c r="A75" s="15"/>
      <c r="B75" s="12" t="str">
        <f t="shared" si="18"/>
        <v xml:space="preserve">I </v>
      </c>
      <c r="C75" s="19">
        <f t="shared" si="28"/>
        <v>26736.111111111113</v>
      </c>
      <c r="D75" s="22"/>
      <c r="E75" s="19">
        <f>'Исходные данные'!$C$44*'Исходные данные'!$H$9</f>
        <v>22500</v>
      </c>
      <c r="F75" s="12">
        <f>(C57*D51)*'Исходные данные'!$E$9/12*3</f>
        <v>0</v>
      </c>
      <c r="G75" s="28"/>
      <c r="H75" s="21"/>
      <c r="I75" s="20"/>
      <c r="J75" s="19">
        <f t="shared" si="29"/>
        <v>1029861.1111111111</v>
      </c>
      <c r="K75" s="22"/>
      <c r="L75" s="19">
        <f t="shared" si="30"/>
        <v>155000</v>
      </c>
      <c r="M75" s="22"/>
      <c r="N75" s="20"/>
    </row>
    <row r="76" spans="1:14" s="1" customFormat="1" x14ac:dyDescent="0.25">
      <c r="A76" s="15"/>
      <c r="B76" s="6" t="str">
        <f t="shared" si="18"/>
        <v>R*</v>
      </c>
      <c r="C76" s="19">
        <f t="shared" si="28"/>
        <v>53472.222222222226</v>
      </c>
      <c r="D76" s="22"/>
      <c r="E76" s="19">
        <f>'Исходные данные'!$C$44*'Исходные данные'!$H$10</f>
        <v>45000</v>
      </c>
      <c r="F76" s="12">
        <f>(C13*D15+C22*D15+C31*D24+C40*D33+C49*D42+C58*D51)*'Исходные данные'!$E$10/12*3</f>
        <v>28409.090909090912</v>
      </c>
      <c r="G76" s="28"/>
      <c r="H76" s="21"/>
      <c r="I76" s="20"/>
      <c r="J76" s="19">
        <f t="shared" si="29"/>
        <v>2059722.2222222222</v>
      </c>
      <c r="K76" s="22"/>
      <c r="L76" s="19">
        <f t="shared" si="30"/>
        <v>310000</v>
      </c>
      <c r="M76" s="22"/>
      <c r="N76" s="20"/>
    </row>
    <row r="77" spans="1:14" s="1" customFormat="1" x14ac:dyDescent="0.25">
      <c r="A77" s="15"/>
      <c r="B77" s="6" t="str">
        <f t="shared" si="18"/>
        <v>А*</v>
      </c>
      <c r="C77" s="19">
        <f>E77/$D$69</f>
        <v>26736.111111111113</v>
      </c>
      <c r="D77" s="22"/>
      <c r="E77" s="19">
        <f>'Исходные данные'!$C$44*'Исходные данные'!$H$11</f>
        <v>22500</v>
      </c>
      <c r="F77" s="12"/>
      <c r="G77" s="28"/>
      <c r="H77" s="21"/>
      <c r="I77" s="20"/>
      <c r="J77" s="19">
        <f t="shared" si="29"/>
        <v>1029861.1111111111</v>
      </c>
      <c r="K77" s="22"/>
      <c r="L77" s="19">
        <f t="shared" si="30"/>
        <v>155000</v>
      </c>
      <c r="M77" s="22"/>
      <c r="N77" s="20"/>
    </row>
    <row r="78" spans="1:14" s="1" customFormat="1" x14ac:dyDescent="0.25">
      <c r="A78" s="13" t="s">
        <v>28</v>
      </c>
      <c r="B78" s="4" t="str">
        <f t="shared" si="18"/>
        <v>ВСЕГО:</v>
      </c>
      <c r="C78" s="18">
        <f>SUM(C79:C86)</f>
        <v>433333.33333333337</v>
      </c>
      <c r="D78" s="21">
        <f>'Исходные данные'!E45</f>
        <v>0.92307692307692313</v>
      </c>
      <c r="E78" s="18">
        <f>SUM(E79:E86)</f>
        <v>400000</v>
      </c>
      <c r="F78" s="18">
        <f>SUM(F79:F86)</f>
        <v>520738.63636363635</v>
      </c>
      <c r="G78" s="27">
        <f>SUM(F79:F86)</f>
        <v>520738.63636363635</v>
      </c>
      <c r="H78" s="21">
        <f>G78/(C6+C15+C24+C33+C42+C51+C60)</f>
        <v>2.5955819881053527E-2</v>
      </c>
      <c r="I78" s="20">
        <f>H78/D78/3*12</f>
        <v>0.11247521948456526</v>
      </c>
      <c r="J78" s="18">
        <f>SUM(J79:J86)</f>
        <v>21030555.555555552</v>
      </c>
      <c r="K78" s="21">
        <f>L78/J78</f>
        <v>0.1664245145951658</v>
      </c>
      <c r="L78" s="18">
        <f>SUM(L79:L86)</f>
        <v>3500000</v>
      </c>
      <c r="M78" s="22">
        <f>(G6+G15+G24+G33+G42+G51+G60+G69+G78)/J78</f>
        <v>7.8195206589738359E-2</v>
      </c>
      <c r="N78" s="20">
        <f t="shared" ref="N78" si="31">M78/K78/3*12</f>
        <v>1.8794155844155838</v>
      </c>
    </row>
    <row r="79" spans="1:14" s="1" customFormat="1" x14ac:dyDescent="0.25">
      <c r="A79" s="15"/>
      <c r="B79" s="12" t="str">
        <f t="shared" ref="B79:B110" si="32">B70</f>
        <v>V</v>
      </c>
      <c r="C79" s="19">
        <f>E79/$D$78</f>
        <v>130000</v>
      </c>
      <c r="D79" s="22"/>
      <c r="E79" s="19">
        <f>'Исходные данные'!$C$45*'Исходные данные'!$H$4</f>
        <v>120000</v>
      </c>
      <c r="F79" s="12">
        <f>(C61*D60)*'Исходные данные'!$E$4/12*3</f>
        <v>75000</v>
      </c>
      <c r="G79" s="28"/>
      <c r="H79" s="21"/>
      <c r="I79" s="20"/>
      <c r="J79" s="19">
        <f>C7+C16+C25+C34+C43+C52+C61+C70+C79</f>
        <v>6309166.666666667</v>
      </c>
      <c r="K79" s="22"/>
      <c r="L79" s="19">
        <f>E7+E16+E25+E34+E43+E52+E61+E70+E79</f>
        <v>1050000</v>
      </c>
      <c r="M79" s="22"/>
      <c r="N79" s="20"/>
    </row>
    <row r="80" spans="1:14" s="1" customFormat="1" x14ac:dyDescent="0.25">
      <c r="A80" s="15"/>
      <c r="B80" s="6" t="str">
        <f t="shared" si="32"/>
        <v>G*</v>
      </c>
      <c r="C80" s="19">
        <f t="shared" ref="C80:C86" si="33">E80/$D$78</f>
        <v>108333.33333333333</v>
      </c>
      <c r="D80" s="22"/>
      <c r="E80" s="19">
        <f>'Исходные данные'!$C$45*'Исходные данные'!$H$5</f>
        <v>100000</v>
      </c>
      <c r="F80" s="12">
        <f>(C8*D15+C17*D15+C26*D24+C35*D33+C44*D42+C53*D51+C62*D60)*'Исходные данные'!$E$5/12*3</f>
        <v>173295.45454545453</v>
      </c>
      <c r="G80" s="28"/>
      <c r="H80" s="21"/>
      <c r="I80" s="20"/>
      <c r="J80" s="19">
        <f t="shared" ref="J80:J86" si="34">C8+C17+C26+C35+C44+C53+C62+C71+C80</f>
        <v>5257638.888888889</v>
      </c>
      <c r="K80" s="22"/>
      <c r="L80" s="19">
        <f t="shared" ref="L80:L86" si="35">E8+E17+E26+E35+E44+E53+E62+E71+E80</f>
        <v>875000</v>
      </c>
      <c r="M80" s="22"/>
      <c r="N80" s="20"/>
    </row>
    <row r="81" spans="1:14" s="1" customFormat="1" x14ac:dyDescent="0.25">
      <c r="A81" s="15"/>
      <c r="B81" s="6" t="str">
        <f t="shared" si="32"/>
        <v>M*</v>
      </c>
      <c r="C81" s="19">
        <f t="shared" si="33"/>
        <v>65000</v>
      </c>
      <c r="D81" s="22"/>
      <c r="E81" s="19">
        <f>'Исходные данные'!$C$45*'Исходные данные'!$H$6</f>
        <v>60000</v>
      </c>
      <c r="F81" s="12">
        <f>(C9*D15+C18*D15+C27*D24+C36*D33+C45*D42+C54*D51+C63*D60)*'Исходные данные'!$F$6/12*3</f>
        <v>207954.54545454547</v>
      </c>
      <c r="G81" s="28"/>
      <c r="H81" s="21"/>
      <c r="I81" s="20"/>
      <c r="J81" s="19">
        <f t="shared" si="34"/>
        <v>3154583.3333333335</v>
      </c>
      <c r="K81" s="22"/>
      <c r="L81" s="19">
        <f t="shared" si="35"/>
        <v>525000</v>
      </c>
      <c r="M81" s="22"/>
      <c r="N81" s="20"/>
    </row>
    <row r="82" spans="1:14" s="1" customFormat="1" x14ac:dyDescent="0.25">
      <c r="A82" s="15"/>
      <c r="B82" s="12" t="str">
        <f t="shared" si="32"/>
        <v>F</v>
      </c>
      <c r="C82" s="19">
        <f t="shared" si="33"/>
        <v>21666.666666666664</v>
      </c>
      <c r="D82" s="22"/>
      <c r="E82" s="19">
        <f>'Исходные данные'!$C$45*'Исходные данные'!$H$7</f>
        <v>20000</v>
      </c>
      <c r="F82" s="12">
        <f>(C64*D60)*'Исходные данные'!$E$7/12*3</f>
        <v>12500</v>
      </c>
      <c r="G82" s="28"/>
      <c r="H82" s="21"/>
      <c r="I82" s="20"/>
      <c r="J82" s="19">
        <f t="shared" si="34"/>
        <v>1051527.7777777778</v>
      </c>
      <c r="K82" s="22"/>
      <c r="L82" s="19">
        <f t="shared" si="35"/>
        <v>175000</v>
      </c>
      <c r="M82" s="22"/>
      <c r="N82" s="20"/>
    </row>
    <row r="83" spans="1:14" s="1" customFormat="1" x14ac:dyDescent="0.25">
      <c r="A83" s="15"/>
      <c r="B83" s="6" t="str">
        <f t="shared" si="32"/>
        <v>С*</v>
      </c>
      <c r="C83" s="19">
        <f t="shared" si="33"/>
        <v>21666.666666666664</v>
      </c>
      <c r="D83" s="22"/>
      <c r="E83" s="19">
        <f>'Исходные данные'!$C$45*'Исходные данные'!$H$8</f>
        <v>20000</v>
      </c>
      <c r="F83" s="12">
        <f>(C11*D15+C20*D15+C29*D24+C38*D33+C47*D42+C56*D51+C65*D60)*'Исходные данные'!$E$8/12*3</f>
        <v>17329.545454545456</v>
      </c>
      <c r="G83" s="28"/>
      <c r="H83" s="21"/>
      <c r="I83" s="20"/>
      <c r="J83" s="19">
        <f t="shared" si="34"/>
        <v>1051527.7777777778</v>
      </c>
      <c r="K83" s="22"/>
      <c r="L83" s="19">
        <f t="shared" si="35"/>
        <v>175000</v>
      </c>
      <c r="M83" s="22"/>
      <c r="N83" s="20"/>
    </row>
    <row r="84" spans="1:14" s="1" customFormat="1" x14ac:dyDescent="0.25">
      <c r="A84" s="15"/>
      <c r="B84" s="12" t="str">
        <f t="shared" si="32"/>
        <v xml:space="preserve">I </v>
      </c>
      <c r="C84" s="19">
        <f t="shared" si="33"/>
        <v>21666.666666666664</v>
      </c>
      <c r="D84" s="22"/>
      <c r="E84" s="19">
        <f>'Исходные данные'!$C$45*'Исходные данные'!$H$9</f>
        <v>20000</v>
      </c>
      <c r="F84" s="12">
        <f>(C66*D60)*'Исходные данные'!$E$9/12*3</f>
        <v>0</v>
      </c>
      <c r="G84" s="28"/>
      <c r="H84" s="21"/>
      <c r="I84" s="20"/>
      <c r="J84" s="19">
        <f t="shared" si="34"/>
        <v>1051527.7777777778</v>
      </c>
      <c r="K84" s="22"/>
      <c r="L84" s="19">
        <f t="shared" si="35"/>
        <v>175000</v>
      </c>
      <c r="M84" s="22"/>
      <c r="N84" s="20"/>
    </row>
    <row r="85" spans="1:14" s="1" customFormat="1" x14ac:dyDescent="0.25">
      <c r="A85" s="15"/>
      <c r="B85" s="6" t="str">
        <f t="shared" si="32"/>
        <v>R*</v>
      </c>
      <c r="C85" s="19">
        <f t="shared" si="33"/>
        <v>43333.333333333328</v>
      </c>
      <c r="D85" s="22"/>
      <c r="E85" s="19">
        <f>'Исходные данные'!$C$45*'Исходные данные'!$H$10</f>
        <v>40000</v>
      </c>
      <c r="F85" s="12">
        <f>(C13*D15+C22*D15+C31*D24+C40*D33+C49*D42+C58*D51+C67*D60)*'Исходные данные'!$E$10/12*3</f>
        <v>34659.090909090912</v>
      </c>
      <c r="G85" s="28"/>
      <c r="H85" s="21"/>
      <c r="I85" s="20"/>
      <c r="J85" s="19">
        <f t="shared" si="34"/>
        <v>2103055.5555555555</v>
      </c>
      <c r="K85" s="22"/>
      <c r="L85" s="19">
        <f t="shared" si="35"/>
        <v>350000</v>
      </c>
      <c r="M85" s="22"/>
      <c r="N85" s="20"/>
    </row>
    <row r="86" spans="1:14" s="1" customFormat="1" x14ac:dyDescent="0.25">
      <c r="A86" s="15"/>
      <c r="B86" s="6" t="str">
        <f t="shared" si="32"/>
        <v>А*</v>
      </c>
      <c r="C86" s="19">
        <f t="shared" si="33"/>
        <v>21666.666666666664</v>
      </c>
      <c r="D86" s="22"/>
      <c r="E86" s="19">
        <f>'Исходные данные'!$C$45*'Исходные данные'!$H$11</f>
        <v>20000</v>
      </c>
      <c r="F86" s="12"/>
      <c r="G86" s="28"/>
      <c r="H86" s="21"/>
      <c r="I86" s="20"/>
      <c r="J86" s="19">
        <f t="shared" si="34"/>
        <v>1051527.7777777778</v>
      </c>
      <c r="K86" s="22"/>
      <c r="L86" s="19">
        <f t="shared" si="35"/>
        <v>175000</v>
      </c>
      <c r="M86" s="22"/>
      <c r="N86" s="20"/>
    </row>
    <row r="87" spans="1:14" s="1" customFormat="1" x14ac:dyDescent="0.25">
      <c r="A87" s="13" t="s">
        <v>29</v>
      </c>
      <c r="B87" s="4" t="str">
        <f t="shared" si="32"/>
        <v>ВСЕГО:</v>
      </c>
      <c r="C87" s="18">
        <f>SUM(C88:C95)</f>
        <v>400000</v>
      </c>
      <c r="D87" s="21">
        <f>'Исходные данные'!E46</f>
        <v>1</v>
      </c>
      <c r="E87" s="18">
        <f>SUM(E88:E95)</f>
        <v>400000</v>
      </c>
      <c r="F87" s="18">
        <f>SUM(F88:F95)</f>
        <v>582301.13636363635</v>
      </c>
      <c r="G87" s="27">
        <f>SUM(F88:F95)</f>
        <v>582301.13636363635</v>
      </c>
      <c r="H87" s="21">
        <f>G87/(C6+C15+C24+C33+C42+C51+C60+C69)</f>
        <v>2.8270857598234535E-2</v>
      </c>
      <c r="I87" s="20">
        <f>H87/D87/3*12</f>
        <v>0.11308343039293814</v>
      </c>
      <c r="J87" s="18">
        <f>SUM(J88:J95)</f>
        <v>21430555.555555552</v>
      </c>
      <c r="K87" s="21">
        <f>L87/J87</f>
        <v>0.18198314970836035</v>
      </c>
      <c r="L87" s="18">
        <f>SUM(L88:L95)</f>
        <v>3900000</v>
      </c>
      <c r="M87" s="22">
        <f>(G6+G15+G24+G33+G42+G51+G60+G69+G78+G87)/J87</f>
        <v>0.10390723502032641</v>
      </c>
      <c r="N87" s="20">
        <f t="shared" ref="N87" si="36">M87/K87/3*12</f>
        <v>2.2838869463869464</v>
      </c>
    </row>
    <row r="88" spans="1:14" s="1" customFormat="1" x14ac:dyDescent="0.25">
      <c r="A88" s="15"/>
      <c r="B88" s="12" t="str">
        <f t="shared" si="32"/>
        <v>V</v>
      </c>
      <c r="C88" s="19">
        <f>E88/$D$87</f>
        <v>120000</v>
      </c>
      <c r="D88" s="22"/>
      <c r="E88" s="19">
        <f>'Исходные данные'!$C$46*'Исходные данные'!$H$4</f>
        <v>120000</v>
      </c>
      <c r="F88" s="12">
        <f>(C70*D69)*'Исходные данные'!$E$4/12*3</f>
        <v>67500</v>
      </c>
      <c r="G88" s="28"/>
      <c r="H88" s="21"/>
      <c r="I88" s="20"/>
      <c r="J88" s="19">
        <f>C7+C16+C25+C34+C43+C52+C61+C70+C79+C88</f>
        <v>6429166.666666667</v>
      </c>
      <c r="K88" s="22"/>
      <c r="L88" s="19">
        <f>E7+E16+E25+E34+E43+E52+E61+E70+E79+E88</f>
        <v>1170000</v>
      </c>
      <c r="M88" s="22"/>
      <c r="N88" s="20"/>
    </row>
    <row r="89" spans="1:14" s="1" customFormat="1" x14ac:dyDescent="0.25">
      <c r="A89" s="15"/>
      <c r="B89" s="6" t="str">
        <f t="shared" si="32"/>
        <v>G*</v>
      </c>
      <c r="C89" s="19">
        <f t="shared" ref="C89:C95" si="37">E89/$D$87</f>
        <v>100000</v>
      </c>
      <c r="D89" s="22"/>
      <c r="E89" s="19">
        <f>'Исходные данные'!$C$46*'Исходные данные'!$H$5</f>
        <v>100000</v>
      </c>
      <c r="F89" s="12">
        <f>(C8*D15+C17*D15+C26*D24+C35*D33+C44*D42+C53*D51+C62*D60+C71*D69)*'Исходные данные'!$E$5/12*3</f>
        <v>201420.45454545453</v>
      </c>
      <c r="G89" s="28"/>
      <c r="H89" s="21"/>
      <c r="I89" s="20"/>
      <c r="J89" s="19">
        <f t="shared" ref="J89:J95" si="38">C8+C17+C26+C35+C44+C53+C62+C71+C80+C89</f>
        <v>5357638.888888889</v>
      </c>
      <c r="K89" s="22"/>
      <c r="L89" s="19">
        <f t="shared" ref="L89:L95" si="39">E8+E17+E26+E35+E44+E53+E62+E71+E80+E89</f>
        <v>975000</v>
      </c>
      <c r="M89" s="22"/>
      <c r="N89" s="20"/>
    </row>
    <row r="90" spans="1:14" s="1" customFormat="1" x14ac:dyDescent="0.25">
      <c r="A90" s="15"/>
      <c r="B90" s="6" t="str">
        <f t="shared" si="32"/>
        <v>M*</v>
      </c>
      <c r="C90" s="19">
        <f t="shared" si="37"/>
        <v>60000</v>
      </c>
      <c r="D90" s="22"/>
      <c r="E90" s="19">
        <f>'Исходные данные'!$C$46*'Исходные данные'!$H$6</f>
        <v>60000</v>
      </c>
      <c r="F90" s="12">
        <f>(C9*D15+C18*D15+C27*D24+C36*D33+C45*D42+C54*D51+C63*D60+C72*D69)*'Исходные данные'!$F$6/12*3</f>
        <v>241704.54545454547</v>
      </c>
      <c r="G90" s="28"/>
      <c r="H90" s="21"/>
      <c r="I90" s="20"/>
      <c r="J90" s="19">
        <f t="shared" si="38"/>
        <v>3214583.3333333335</v>
      </c>
      <c r="K90" s="22"/>
      <c r="L90" s="19">
        <f t="shared" si="39"/>
        <v>585000</v>
      </c>
      <c r="M90" s="22"/>
      <c r="N90" s="20"/>
    </row>
    <row r="91" spans="1:14" s="1" customFormat="1" x14ac:dyDescent="0.25">
      <c r="A91" s="15"/>
      <c r="B91" s="12" t="str">
        <f t="shared" si="32"/>
        <v>F</v>
      </c>
      <c r="C91" s="19">
        <f t="shared" si="37"/>
        <v>20000</v>
      </c>
      <c r="D91" s="22"/>
      <c r="E91" s="19">
        <f>'Исходные данные'!$C$46*'Исходные данные'!$H$7</f>
        <v>20000</v>
      </c>
      <c r="F91" s="12">
        <f>(C73*D69)*'Исходные данные'!$E$7/12*3</f>
        <v>11250</v>
      </c>
      <c r="G91" s="28"/>
      <c r="H91" s="21"/>
      <c r="I91" s="20"/>
      <c r="J91" s="19">
        <f t="shared" si="38"/>
        <v>1071527.7777777778</v>
      </c>
      <c r="K91" s="22"/>
      <c r="L91" s="19">
        <f t="shared" si="39"/>
        <v>195000</v>
      </c>
      <c r="M91" s="22"/>
      <c r="N91" s="20"/>
    </row>
    <row r="92" spans="1:14" s="1" customFormat="1" x14ac:dyDescent="0.25">
      <c r="A92" s="15"/>
      <c r="B92" s="6" t="str">
        <f t="shared" si="32"/>
        <v>С*</v>
      </c>
      <c r="C92" s="19">
        <f t="shared" si="37"/>
        <v>20000</v>
      </c>
      <c r="D92" s="22"/>
      <c r="E92" s="19">
        <f>'Исходные данные'!$C$46*'Исходные данные'!$H$8</f>
        <v>20000</v>
      </c>
      <c r="F92" s="12">
        <f>(C11*D15+C20*D15+C29*D24+C38*D33+C47*D42+C56*D51+C65*D60+C74*D69)*'Исходные данные'!$E$8/12*3</f>
        <v>20142.045454545456</v>
      </c>
      <c r="G92" s="28"/>
      <c r="H92" s="21"/>
      <c r="I92" s="20"/>
      <c r="J92" s="19">
        <f t="shared" si="38"/>
        <v>1071527.7777777778</v>
      </c>
      <c r="K92" s="22"/>
      <c r="L92" s="19">
        <f t="shared" si="39"/>
        <v>195000</v>
      </c>
      <c r="M92" s="22"/>
      <c r="N92" s="20"/>
    </row>
    <row r="93" spans="1:14" s="1" customFormat="1" x14ac:dyDescent="0.25">
      <c r="A93" s="15"/>
      <c r="B93" s="12" t="str">
        <f t="shared" si="32"/>
        <v xml:space="preserve">I </v>
      </c>
      <c r="C93" s="19">
        <f t="shared" si="37"/>
        <v>20000</v>
      </c>
      <c r="D93" s="22"/>
      <c r="E93" s="19">
        <f>'Исходные данные'!$C$46*'Исходные данные'!$H$9</f>
        <v>20000</v>
      </c>
      <c r="F93" s="12">
        <f>(C75*D69)*'Исходные данные'!$E$9/12*3</f>
        <v>0</v>
      </c>
      <c r="G93" s="28"/>
      <c r="H93" s="21"/>
      <c r="I93" s="20"/>
      <c r="J93" s="19">
        <f t="shared" si="38"/>
        <v>1071527.7777777778</v>
      </c>
      <c r="K93" s="22"/>
      <c r="L93" s="19">
        <f t="shared" si="39"/>
        <v>195000</v>
      </c>
      <c r="M93" s="22"/>
      <c r="N93" s="20"/>
    </row>
    <row r="94" spans="1:14" s="1" customFormat="1" x14ac:dyDescent="0.25">
      <c r="A94" s="15"/>
      <c r="B94" s="6" t="str">
        <f t="shared" si="32"/>
        <v>R*</v>
      </c>
      <c r="C94" s="19">
        <f t="shared" si="37"/>
        <v>40000</v>
      </c>
      <c r="D94" s="22"/>
      <c r="E94" s="19">
        <f>'Исходные данные'!$C$46*'Исходные данные'!$H$10</f>
        <v>40000</v>
      </c>
      <c r="F94" s="12">
        <f>(C13*D15+C22*D15+C31*D24+C40*D33+C49*D42+C58*D51+C67*D60+C76*D69)*'Исходные данные'!$E$10/12*3</f>
        <v>40284.090909090912</v>
      </c>
      <c r="G94" s="28"/>
      <c r="H94" s="21"/>
      <c r="I94" s="20"/>
      <c r="J94" s="19">
        <f t="shared" si="38"/>
        <v>2143055.5555555555</v>
      </c>
      <c r="K94" s="22"/>
      <c r="L94" s="19">
        <f t="shared" si="39"/>
        <v>390000</v>
      </c>
      <c r="M94" s="22"/>
      <c r="N94" s="20"/>
    </row>
    <row r="95" spans="1:14" s="1" customFormat="1" x14ac:dyDescent="0.25">
      <c r="A95" s="15"/>
      <c r="B95" s="6" t="str">
        <f t="shared" si="32"/>
        <v>А*</v>
      </c>
      <c r="C95" s="19">
        <f t="shared" si="37"/>
        <v>20000</v>
      </c>
      <c r="D95" s="22"/>
      <c r="E95" s="19">
        <f>'Исходные данные'!$C$46*'Исходные данные'!$H$11</f>
        <v>20000</v>
      </c>
      <c r="F95" s="12"/>
      <c r="G95" s="28"/>
      <c r="H95" s="21"/>
      <c r="I95" s="20"/>
      <c r="J95" s="19">
        <f t="shared" si="38"/>
        <v>1071527.7777777778</v>
      </c>
      <c r="K95" s="22"/>
      <c r="L95" s="19">
        <f t="shared" si="39"/>
        <v>195000</v>
      </c>
      <c r="M95" s="22"/>
      <c r="N95" s="20"/>
    </row>
    <row r="96" spans="1:14" s="1" customFormat="1" x14ac:dyDescent="0.25">
      <c r="A96" s="13" t="s">
        <v>31</v>
      </c>
      <c r="B96" s="4" t="str">
        <f t="shared" si="32"/>
        <v>ВСЕГО:</v>
      </c>
      <c r="C96" s="18">
        <f>SUM(C97:C104)</f>
        <v>363636.36363636359</v>
      </c>
      <c r="D96" s="21">
        <f>'Исходные данные'!E47</f>
        <v>1.1000000000000001</v>
      </c>
      <c r="E96" s="18">
        <f>SUM(E97:E104)</f>
        <v>400000</v>
      </c>
      <c r="F96" s="18">
        <f>SUM(F97:F104)</f>
        <v>636051.13636363635</v>
      </c>
      <c r="G96" s="27">
        <f>SUM(F97:F104)</f>
        <v>636051.13636363635</v>
      </c>
      <c r="H96" s="21">
        <f>G96/(C6+C15+C24+C33+C42+C51+C60+C69+C78)</f>
        <v>3.0244143322006218E-2</v>
      </c>
      <c r="I96" s="20">
        <f>H96/D96/3*12</f>
        <v>0.10997870298911351</v>
      </c>
      <c r="J96" s="18">
        <f>SUM(J97:J104)</f>
        <v>21794191.919191923</v>
      </c>
      <c r="K96" s="21">
        <f>L96/J96</f>
        <v>0.1973002722901338</v>
      </c>
      <c r="L96" s="18">
        <f>SUM(L97:L104)</f>
        <v>4300000</v>
      </c>
      <c r="M96" s="22">
        <f>(G6+G15+G24+G33+G42+G51+G60+G69+G78+G87+G96)/J96</f>
        <v>0.13135797462487686</v>
      </c>
      <c r="N96" s="20">
        <f t="shared" ref="N96" si="40">M96/K96/3*12</f>
        <v>2.6631078224101477</v>
      </c>
    </row>
    <row r="97" spans="1:14" s="1" customFormat="1" x14ac:dyDescent="0.25">
      <c r="A97" s="15"/>
      <c r="B97" s="12" t="str">
        <f t="shared" si="32"/>
        <v>V</v>
      </c>
      <c r="C97" s="19">
        <f>E97/$D$96</f>
        <v>109090.90909090909</v>
      </c>
      <c r="D97" s="22"/>
      <c r="E97" s="19">
        <f>'Исходные данные'!$C$47*'Исходные данные'!$H$4</f>
        <v>120000</v>
      </c>
      <c r="F97" s="12">
        <f>(C79*D78)*'Исходные данные'!$E$4/12*3</f>
        <v>60000</v>
      </c>
      <c r="G97" s="28"/>
      <c r="H97" s="21"/>
      <c r="I97" s="20"/>
      <c r="J97" s="19">
        <f>C7+C16+C25+C34+C43+C52+C61+C70+C79+C88+C97</f>
        <v>6538257.5757575762</v>
      </c>
      <c r="K97" s="22"/>
      <c r="L97" s="19">
        <f>E7+E16+E25+E34+E43+E52+E61+E70+E79+E88+E97</f>
        <v>1290000</v>
      </c>
      <c r="M97" s="22"/>
      <c r="N97" s="20"/>
    </row>
    <row r="98" spans="1:14" s="1" customFormat="1" x14ac:dyDescent="0.25">
      <c r="A98" s="15"/>
      <c r="B98" s="6" t="str">
        <f t="shared" si="32"/>
        <v>G*</v>
      </c>
      <c r="C98" s="19">
        <f t="shared" ref="C98:C104" si="41">E98/$D$96</f>
        <v>90909.090909090897</v>
      </c>
      <c r="D98" s="22"/>
      <c r="E98" s="19">
        <f>'Исходные данные'!$C$47*'Исходные данные'!$H$5</f>
        <v>100000</v>
      </c>
      <c r="F98" s="12">
        <f>(C8*D15+C17*D15+C26*D24+C35*D33+C44*D42+C53*D51+C62*D60+C71*D69+C80*D78)*'Исходные данные'!$E$5/12*3</f>
        <v>226420.45454545453</v>
      </c>
      <c r="G98" s="28"/>
      <c r="H98" s="21"/>
      <c r="I98" s="20"/>
      <c r="J98" s="19">
        <f t="shared" ref="J98:J104" si="42">C8+C17+C26+C35+C44+C53+C62+C71+C80+C89+C98</f>
        <v>5448547.9797979798</v>
      </c>
      <c r="K98" s="22"/>
      <c r="L98" s="19">
        <f t="shared" ref="L98:L104" si="43">E8+E17+E26+E35+E44+E53+E62+E71+E80+E89+E98</f>
        <v>1075000</v>
      </c>
      <c r="M98" s="22"/>
      <c r="N98" s="20"/>
    </row>
    <row r="99" spans="1:14" s="1" customFormat="1" x14ac:dyDescent="0.25">
      <c r="A99" s="15"/>
      <c r="B99" s="6" t="str">
        <f t="shared" si="32"/>
        <v>M*</v>
      </c>
      <c r="C99" s="19">
        <f t="shared" si="41"/>
        <v>54545.454545454544</v>
      </c>
      <c r="D99" s="22"/>
      <c r="E99" s="19">
        <f>'Исходные данные'!$C$47*'Исходные данные'!$H$6</f>
        <v>60000</v>
      </c>
      <c r="F99" s="12">
        <f>(C9*D15+C18*D15+C27*D24+C36*D33+C45*D42+C54*D51+C63*D60+C72*D69+C81*D78)*'Исходные данные'!$F$6/12*3</f>
        <v>271704.54545454547</v>
      </c>
      <c r="G99" s="28"/>
      <c r="H99" s="21"/>
      <c r="I99" s="20"/>
      <c r="J99" s="19">
        <f t="shared" si="42"/>
        <v>3269128.7878787881</v>
      </c>
      <c r="K99" s="22"/>
      <c r="L99" s="19">
        <f t="shared" si="43"/>
        <v>645000</v>
      </c>
      <c r="M99" s="22"/>
      <c r="N99" s="20"/>
    </row>
    <row r="100" spans="1:14" s="1" customFormat="1" x14ac:dyDescent="0.25">
      <c r="A100" s="15"/>
      <c r="B100" s="12" t="str">
        <f t="shared" si="32"/>
        <v>F</v>
      </c>
      <c r="C100" s="19">
        <f t="shared" si="41"/>
        <v>18181.81818181818</v>
      </c>
      <c r="D100" s="22"/>
      <c r="E100" s="19">
        <f>'Исходные данные'!$C$47*'Исходные данные'!$H$7</f>
        <v>20000</v>
      </c>
      <c r="F100" s="12">
        <f>(C82*D78)*'Исходные данные'!$E$7/12*3</f>
        <v>10000</v>
      </c>
      <c r="G100" s="28"/>
      <c r="H100" s="21"/>
      <c r="I100" s="20"/>
      <c r="J100" s="19">
        <f t="shared" si="42"/>
        <v>1089709.5959595959</v>
      </c>
      <c r="K100" s="22"/>
      <c r="L100" s="19">
        <f t="shared" si="43"/>
        <v>215000</v>
      </c>
      <c r="M100" s="22"/>
      <c r="N100" s="20"/>
    </row>
    <row r="101" spans="1:14" s="1" customFormat="1" x14ac:dyDescent="0.25">
      <c r="A101" s="15"/>
      <c r="B101" s="6" t="str">
        <f t="shared" si="32"/>
        <v>С*</v>
      </c>
      <c r="C101" s="19">
        <f t="shared" si="41"/>
        <v>18181.81818181818</v>
      </c>
      <c r="D101" s="22"/>
      <c r="E101" s="19">
        <f>'Исходные данные'!$C$47*'Исходные данные'!$H$8</f>
        <v>20000</v>
      </c>
      <c r="F101" s="12">
        <f>(C11*D15+C20*D15+C29*D24+C38*D33+C47*D42+C56*D51+C65*D60+C74*D69+C83*D78)*'Исходные данные'!$E$8/12*3</f>
        <v>22642.045454545456</v>
      </c>
      <c r="G101" s="28"/>
      <c r="H101" s="21"/>
      <c r="I101" s="20"/>
      <c r="J101" s="19">
        <f t="shared" si="42"/>
        <v>1089709.5959595959</v>
      </c>
      <c r="K101" s="22"/>
      <c r="L101" s="19">
        <f t="shared" si="43"/>
        <v>215000</v>
      </c>
      <c r="M101" s="22"/>
      <c r="N101" s="20"/>
    </row>
    <row r="102" spans="1:14" s="1" customFormat="1" x14ac:dyDescent="0.25">
      <c r="A102" s="15"/>
      <c r="B102" s="12" t="str">
        <f t="shared" si="32"/>
        <v xml:space="preserve">I </v>
      </c>
      <c r="C102" s="19">
        <f t="shared" si="41"/>
        <v>18181.81818181818</v>
      </c>
      <c r="D102" s="22"/>
      <c r="E102" s="19">
        <f>'Исходные данные'!$C$47*'Исходные данные'!$H$9</f>
        <v>20000</v>
      </c>
      <c r="F102" s="12">
        <f>(C84*D78)*'Исходные данные'!$E$9/12*3</f>
        <v>0</v>
      </c>
      <c r="G102" s="28"/>
      <c r="H102" s="21"/>
      <c r="I102" s="20"/>
      <c r="J102" s="19">
        <f t="shared" si="42"/>
        <v>1089709.5959595959</v>
      </c>
      <c r="K102" s="22"/>
      <c r="L102" s="19">
        <f t="shared" si="43"/>
        <v>215000</v>
      </c>
      <c r="M102" s="22"/>
      <c r="N102" s="20"/>
    </row>
    <row r="103" spans="1:14" s="1" customFormat="1" x14ac:dyDescent="0.25">
      <c r="A103" s="15"/>
      <c r="B103" s="6" t="str">
        <f t="shared" si="32"/>
        <v>R*</v>
      </c>
      <c r="C103" s="19">
        <f t="shared" si="41"/>
        <v>36363.63636363636</v>
      </c>
      <c r="D103" s="22"/>
      <c r="E103" s="19">
        <f>'Исходные данные'!$C$47*'Исходные данные'!$H$10</f>
        <v>40000</v>
      </c>
      <c r="F103" s="12">
        <f>(C13*D15+C22*D15+C31*D24+C40*D33+C49*D42+C58*D51+C67*D60+C76*D69+C85*D78)*'Исходные данные'!$E$10/12*3</f>
        <v>45284.090909090912</v>
      </c>
      <c r="G103" s="28"/>
      <c r="H103" s="21"/>
      <c r="I103" s="20"/>
      <c r="J103" s="19">
        <f t="shared" si="42"/>
        <v>2179419.1919191917</v>
      </c>
      <c r="K103" s="22"/>
      <c r="L103" s="19">
        <f t="shared" si="43"/>
        <v>430000</v>
      </c>
      <c r="M103" s="22"/>
      <c r="N103" s="20"/>
    </row>
    <row r="104" spans="1:14" s="1" customFormat="1" x14ac:dyDescent="0.25">
      <c r="A104" s="15"/>
      <c r="B104" s="6" t="str">
        <f t="shared" si="32"/>
        <v>А*</v>
      </c>
      <c r="C104" s="19">
        <f t="shared" si="41"/>
        <v>18181.81818181818</v>
      </c>
      <c r="D104" s="22"/>
      <c r="E104" s="19">
        <f>'Исходные данные'!$C$47*'Исходные данные'!$H$11</f>
        <v>20000</v>
      </c>
      <c r="F104" s="12"/>
      <c r="G104" s="28"/>
      <c r="H104" s="21"/>
      <c r="I104" s="20"/>
      <c r="J104" s="19">
        <f t="shared" si="42"/>
        <v>1089709.5959595959</v>
      </c>
      <c r="K104" s="22"/>
      <c r="L104" s="19">
        <f t="shared" si="43"/>
        <v>215000</v>
      </c>
      <c r="M104" s="22"/>
      <c r="N104" s="20"/>
    </row>
    <row r="105" spans="1:14" s="1" customFormat="1" x14ac:dyDescent="0.25">
      <c r="A105" s="13" t="s">
        <v>32</v>
      </c>
      <c r="B105" s="4" t="str">
        <f t="shared" si="32"/>
        <v>ВСЕГО:</v>
      </c>
      <c r="C105" s="18">
        <f>SUM(C106:C113)</f>
        <v>340909.09090909088</v>
      </c>
      <c r="D105" s="21">
        <f>'Исходные данные'!E48</f>
        <v>1.1733333333333333</v>
      </c>
      <c r="E105" s="18">
        <f>SUM(E106:E113)</f>
        <v>400000</v>
      </c>
      <c r="F105" s="18">
        <f>SUM(F106:F113)</f>
        <v>723693.18181818177</v>
      </c>
      <c r="G105" s="27">
        <f>SUM(F106:F113)</f>
        <v>723693.18181818177</v>
      </c>
      <c r="H105" s="21">
        <f>G105/(C6+C15+C24+C33+C42+C51+C60+C69+C78+C87)</f>
        <v>3.3769221705060977E-2</v>
      </c>
      <c r="I105" s="20">
        <f>H105/D105/3*12</f>
        <v>0.11512234672179879</v>
      </c>
      <c r="J105" s="18">
        <f>SUM(J106:J113)</f>
        <v>22135101.010101005</v>
      </c>
      <c r="K105" s="21">
        <f>L105/J105</f>
        <v>0.21233243967828422</v>
      </c>
      <c r="L105" s="18">
        <f>SUM(L106:L113)</f>
        <v>4700000</v>
      </c>
      <c r="M105" s="22">
        <f>(G6+G15+G24+G33+G42+G51+G60+G69+G78+G87+G96+G105)/J105</f>
        <v>0.16202926244937541</v>
      </c>
      <c r="N105" s="20">
        <f t="shared" ref="N105" si="44">M105/K105/3*12</f>
        <v>3.0523694390715663</v>
      </c>
    </row>
    <row r="106" spans="1:14" s="1" customFormat="1" x14ac:dyDescent="0.25">
      <c r="A106" s="15"/>
      <c r="B106" s="12" t="str">
        <f t="shared" si="32"/>
        <v>V</v>
      </c>
      <c r="C106" s="19">
        <f>E106/$D$105</f>
        <v>102272.72727272728</v>
      </c>
      <c r="D106" s="22"/>
      <c r="E106" s="19">
        <f>'Исходные данные'!$C$48*'Исходные данные'!$H$4</f>
        <v>120000</v>
      </c>
      <c r="F106" s="12">
        <f>(C88*D87)*'Исходные данные'!$E$4/12*3</f>
        <v>60000</v>
      </c>
      <c r="G106" s="28"/>
      <c r="H106" s="21"/>
      <c r="I106" s="20"/>
      <c r="J106" s="19">
        <f>C7+C16+C25+C34+C43+C52+C61+C70+C79+C88+C97+C106</f>
        <v>6640530.3030303037</v>
      </c>
      <c r="K106" s="22"/>
      <c r="L106" s="19">
        <f>E7+E16+E25+E34+E43+E52+E61+E70+E79+E88+E97+E106</f>
        <v>1410000</v>
      </c>
      <c r="M106" s="22"/>
      <c r="N106" s="20"/>
    </row>
    <row r="107" spans="1:14" s="1" customFormat="1" x14ac:dyDescent="0.25">
      <c r="A107" s="15"/>
      <c r="B107" s="6" t="str">
        <f t="shared" si="32"/>
        <v>G*</v>
      </c>
      <c r="C107" s="19">
        <f t="shared" ref="C107:C113" si="45">E107/$D$105</f>
        <v>85227.272727272721</v>
      </c>
      <c r="D107" s="22"/>
      <c r="E107" s="19">
        <f>'Исходные данные'!$C$48*'Исходные данные'!$H$5</f>
        <v>100000</v>
      </c>
      <c r="F107" s="12">
        <f>(C8*D15+C17*D15+C26*D24+C35*D33+C44*D42+C53*D51+C62*D60+C71*D69+C80*D78+C89*D87)*'Исходные данные'!$E$5/12*3</f>
        <v>251420.45454545453</v>
      </c>
      <c r="G107" s="28"/>
      <c r="H107" s="21"/>
      <c r="I107" s="20"/>
      <c r="J107" s="19">
        <f t="shared" ref="J107:J113" si="46">C8+C17+C26+C35+C44+C53+C62+C71+C80+C89+C98+C107</f>
        <v>5533775.2525252523</v>
      </c>
      <c r="K107" s="22"/>
      <c r="L107" s="19">
        <f t="shared" ref="L107:L113" si="47">E8+E17+E26+E35+E44+E53+E62+E71+E80+E89+E98+E107</f>
        <v>1175000</v>
      </c>
      <c r="M107" s="22"/>
      <c r="N107" s="20"/>
    </row>
    <row r="108" spans="1:14" s="1" customFormat="1" x14ac:dyDescent="0.25">
      <c r="A108" s="15"/>
      <c r="B108" s="6" t="str">
        <f t="shared" si="32"/>
        <v>M*</v>
      </c>
      <c r="C108" s="19">
        <f t="shared" si="45"/>
        <v>51136.36363636364</v>
      </c>
      <c r="D108" s="22"/>
      <c r="E108" s="19">
        <f>'Исходные данные'!$C$48*'Исходные данные'!$H$6</f>
        <v>60000</v>
      </c>
      <c r="F108" s="12">
        <f>(C9*D15+C18*D15+C27*D24+C36*D33+C45*D42+C54*D51+C63*D60+C72*D69+C81*D78+C90*D87)*'Исходные данные'!$F$6/12*3</f>
        <v>301704.54545454547</v>
      </c>
      <c r="G108" s="28"/>
      <c r="H108" s="21"/>
      <c r="I108" s="20"/>
      <c r="J108" s="19">
        <f t="shared" si="46"/>
        <v>3320265.1515151518</v>
      </c>
      <c r="K108" s="22"/>
      <c r="L108" s="19">
        <f t="shared" si="47"/>
        <v>705000</v>
      </c>
      <c r="M108" s="22"/>
      <c r="N108" s="20"/>
    </row>
    <row r="109" spans="1:14" s="1" customFormat="1" x14ac:dyDescent="0.25">
      <c r="A109" s="15"/>
      <c r="B109" s="12" t="str">
        <f t="shared" si="32"/>
        <v>F</v>
      </c>
      <c r="C109" s="19">
        <f t="shared" si="45"/>
        <v>17045.454545454544</v>
      </c>
      <c r="D109" s="22"/>
      <c r="E109" s="19">
        <f>'Исходные данные'!$C$48*'Исходные данные'!$H$7</f>
        <v>20000</v>
      </c>
      <c r="F109" s="12">
        <f>(C91*D87)*'Исходные данные'!$E$7/12*3</f>
        <v>10000</v>
      </c>
      <c r="G109" s="28"/>
      <c r="H109" s="21"/>
      <c r="I109" s="20"/>
      <c r="J109" s="19">
        <f t="shared" si="46"/>
        <v>1106755.0505050505</v>
      </c>
      <c r="K109" s="22"/>
      <c r="L109" s="19">
        <f t="shared" si="47"/>
        <v>235000</v>
      </c>
      <c r="M109" s="22"/>
      <c r="N109" s="20"/>
    </row>
    <row r="110" spans="1:14" s="1" customFormat="1" x14ac:dyDescent="0.25">
      <c r="A110" s="15"/>
      <c r="B110" s="6" t="str">
        <f t="shared" si="32"/>
        <v>С*</v>
      </c>
      <c r="C110" s="19">
        <f t="shared" si="45"/>
        <v>17045.454545454544</v>
      </c>
      <c r="D110" s="22"/>
      <c r="E110" s="19">
        <f>'Исходные данные'!$C$48*'Исходные данные'!$H$8</f>
        <v>20000</v>
      </c>
      <c r="F110" s="12">
        <f>(C11*D15+C20*D15+C29*D24+C38*D33+C47*D42+C56*D51+C65*D60+C74*D69+C83*D78+C92*D87)*'Исходные данные'!$E$8/12*3</f>
        <v>25142.045454545456</v>
      </c>
      <c r="G110" s="28"/>
      <c r="H110" s="21"/>
      <c r="I110" s="20"/>
      <c r="J110" s="19">
        <f t="shared" si="46"/>
        <v>1106755.0505050505</v>
      </c>
      <c r="K110" s="22"/>
      <c r="L110" s="19">
        <f t="shared" si="47"/>
        <v>235000</v>
      </c>
      <c r="M110" s="22"/>
      <c r="N110" s="20"/>
    </row>
    <row r="111" spans="1:14" s="1" customFormat="1" x14ac:dyDescent="0.25">
      <c r="A111" s="15"/>
      <c r="B111" s="12" t="str">
        <f t="shared" ref="B111:B142" si="48">B102</f>
        <v xml:space="preserve">I </v>
      </c>
      <c r="C111" s="19">
        <f t="shared" si="45"/>
        <v>17045.454545454544</v>
      </c>
      <c r="D111" s="22"/>
      <c r="E111" s="19">
        <f>'Исходные данные'!$C$48*'Исходные данные'!$H$9</f>
        <v>20000</v>
      </c>
      <c r="F111" s="12">
        <f>(C93*D87)*'Исходные данные'!$E$9/12*3</f>
        <v>0</v>
      </c>
      <c r="G111" s="28"/>
      <c r="H111" s="21"/>
      <c r="I111" s="20"/>
      <c r="J111" s="19">
        <f t="shared" si="46"/>
        <v>1106755.0505050505</v>
      </c>
      <c r="K111" s="22"/>
      <c r="L111" s="19">
        <f t="shared" si="47"/>
        <v>235000</v>
      </c>
      <c r="M111" s="22"/>
      <c r="N111" s="20"/>
    </row>
    <row r="112" spans="1:14" s="1" customFormat="1" x14ac:dyDescent="0.25">
      <c r="A112" s="15"/>
      <c r="B112" s="6" t="str">
        <f t="shared" si="48"/>
        <v>R*</v>
      </c>
      <c r="C112" s="19">
        <f t="shared" si="45"/>
        <v>34090.909090909088</v>
      </c>
      <c r="D112" s="22"/>
      <c r="E112" s="19">
        <f>'Исходные данные'!$C$48*'Исходные данные'!$H$10</f>
        <v>40000</v>
      </c>
      <c r="F112" s="12">
        <f>(C13*D15+C22*D15+C31*D24+C40*D33+C49*D42+C58*D51+C67*D60+C76*D69+C85*D78+C94*D87)*'Исходные данные'!$E$10/12*3</f>
        <v>50284.090909090912</v>
      </c>
      <c r="G112" s="28"/>
      <c r="H112" s="21"/>
      <c r="I112" s="20"/>
      <c r="J112" s="19">
        <f t="shared" si="46"/>
        <v>2213510.1010101009</v>
      </c>
      <c r="K112" s="22"/>
      <c r="L112" s="19">
        <f t="shared" si="47"/>
        <v>470000</v>
      </c>
      <c r="M112" s="22"/>
      <c r="N112" s="20"/>
    </row>
    <row r="113" spans="1:14" s="1" customFormat="1" x14ac:dyDescent="0.25">
      <c r="A113" s="15"/>
      <c r="B113" s="6" t="str">
        <f t="shared" si="48"/>
        <v>А*</v>
      </c>
      <c r="C113" s="19">
        <f t="shared" si="45"/>
        <v>17045.454545454544</v>
      </c>
      <c r="D113" s="22"/>
      <c r="E113" s="19">
        <f>'Исходные данные'!$C$48*'Исходные данные'!$H$11</f>
        <v>20000</v>
      </c>
      <c r="F113" s="12">
        <f>(C14*D15+C23*D15+C32*D24+C41*D33+C50*D42+C59*D51+C68*D60+C77*D69+C86*D78+C95*D87)*'Исходные данные'!$G$11/12*3</f>
        <v>25142.045454545456</v>
      </c>
      <c r="G113" s="28"/>
      <c r="H113" s="21"/>
      <c r="I113" s="20"/>
      <c r="J113" s="19">
        <f t="shared" si="46"/>
        <v>1106755.0505050505</v>
      </c>
      <c r="K113" s="22"/>
      <c r="L113" s="19">
        <f t="shared" si="47"/>
        <v>235000</v>
      </c>
      <c r="M113" s="22"/>
      <c r="N113" s="20"/>
    </row>
    <row r="114" spans="1:14" s="1" customFormat="1" x14ac:dyDescent="0.25">
      <c r="A114" s="13" t="s">
        <v>33</v>
      </c>
      <c r="B114" s="4" t="str">
        <f t="shared" si="48"/>
        <v>ВСЕГО:</v>
      </c>
      <c r="C114" s="18">
        <f>SUM(C115:C122)</f>
        <v>320512.82051282044</v>
      </c>
      <c r="D114" s="21">
        <f>'Исходные данные'!E49</f>
        <v>1.2480000000000002</v>
      </c>
      <c r="E114" s="18">
        <f>SUM(E115:E122)</f>
        <v>400000</v>
      </c>
      <c r="F114" s="18">
        <f>SUM(F115:F122)</f>
        <v>788693.18181818177</v>
      </c>
      <c r="G114" s="27">
        <f>SUM(F115:F122)</f>
        <v>788693.18181818177</v>
      </c>
      <c r="H114" s="21">
        <f>G114/(C6+C15+C24+C33+C42+C51+C60+C69+C78+C87+C96)</f>
        <v>3.6188227796767274E-2</v>
      </c>
      <c r="I114" s="20">
        <f>H114/D114/3*12</f>
        <v>0.11598790960502331</v>
      </c>
      <c r="J114" s="18">
        <f>SUM(J115:J122)</f>
        <v>22455613.830613829</v>
      </c>
      <c r="K114" s="21">
        <f>L114/J114</f>
        <v>0.22711470006877074</v>
      </c>
      <c r="L114" s="18">
        <f>SUM(L115:L122)</f>
        <v>5100000</v>
      </c>
      <c r="M114" s="22">
        <f>(G6+G15+G24+G33+G42+G51+G60+G69+G78+G87+G96+G105+G114)/J114</f>
        <v>0.19483890779963928</v>
      </c>
      <c r="N114" s="20">
        <f t="shared" ref="N114" si="49">M114/K114/3*12</f>
        <v>3.4315508021390375</v>
      </c>
    </row>
    <row r="115" spans="1:14" s="1" customFormat="1" x14ac:dyDescent="0.25">
      <c r="A115" s="15"/>
      <c r="B115" s="12" t="str">
        <f t="shared" si="48"/>
        <v>V</v>
      </c>
      <c r="C115" s="19">
        <f t="shared" ref="C115:C122" si="50">E115/$D$114</f>
        <v>96153.846153846142</v>
      </c>
      <c r="D115" s="22"/>
      <c r="E115" s="19">
        <f>'Исходные данные'!$C$49*'Исходные данные'!$H$4</f>
        <v>120000</v>
      </c>
      <c r="F115" s="12">
        <f>(C97*D96)*'Исходные данные'!$E$4/12*3</f>
        <v>60000</v>
      </c>
      <c r="G115" s="28"/>
      <c r="H115" s="21"/>
      <c r="I115" s="20"/>
      <c r="J115" s="19">
        <f>C7+C16+C25+C34+C43+C52+C61+C70+C79+C88+C97+C106+C115</f>
        <v>6736684.1491841497</v>
      </c>
      <c r="K115" s="22"/>
      <c r="L115" s="19">
        <f>E7+E16+E25+E34+E43+E52+E61+E70+E79+E88+E97+E106+E115</f>
        <v>1530000</v>
      </c>
      <c r="M115" s="22"/>
      <c r="N115" s="20"/>
    </row>
    <row r="116" spans="1:14" s="1" customFormat="1" x14ac:dyDescent="0.25">
      <c r="A116" s="15"/>
      <c r="B116" s="6" t="str">
        <f t="shared" si="48"/>
        <v>G*</v>
      </c>
      <c r="C116" s="19">
        <f t="shared" si="50"/>
        <v>80128.205128205111</v>
      </c>
      <c r="D116" s="22"/>
      <c r="E116" s="19">
        <f>'Исходные данные'!$C$49*'Исходные данные'!$H$5</f>
        <v>100000</v>
      </c>
      <c r="F116" s="12">
        <f>(C8*D15+C17*D15+C26*D24+C35*D33+C44*D42+C53*D51+C62*D60+C71*D69+C80*D78+C89*D87+C98*D96)*'Исходные данные'!$E$5/12*3</f>
        <v>276420.45454545453</v>
      </c>
      <c r="G116" s="28"/>
      <c r="H116" s="21"/>
      <c r="I116" s="20"/>
      <c r="J116" s="19">
        <f t="shared" ref="J116:J122" si="51">C8+C17+C26+C35+C44+C53+C62+C71+C80+C89+C98+C107+C116</f>
        <v>5613903.4576534573</v>
      </c>
      <c r="K116" s="22"/>
      <c r="L116" s="19">
        <f t="shared" ref="L116:L122" si="52">E8+E17+E26+E35+E44+E53+E62+E71+E80+E89+E98+E107+E116</f>
        <v>1275000</v>
      </c>
      <c r="M116" s="22"/>
      <c r="N116" s="20"/>
    </row>
    <row r="117" spans="1:14" s="1" customFormat="1" x14ac:dyDescent="0.25">
      <c r="A117" s="15"/>
      <c r="B117" s="6" t="str">
        <f t="shared" si="48"/>
        <v>M*</v>
      </c>
      <c r="C117" s="19">
        <f t="shared" si="50"/>
        <v>48076.923076923071</v>
      </c>
      <c r="D117" s="22"/>
      <c r="E117" s="19">
        <f>'Исходные данные'!$C$49*'Исходные данные'!$H$6</f>
        <v>60000</v>
      </c>
      <c r="F117" s="12">
        <f>(C9*D15+C18*D15+C27*D24+C36*D33+C45*D42+C54*D51+C63*D60+C72*D69+C81*D78+C90*D87+C99*D96)*'Исходные данные'!$F$6/12*3</f>
        <v>331704.54545454547</v>
      </c>
      <c r="G117" s="28"/>
      <c r="H117" s="21"/>
      <c r="I117" s="20"/>
      <c r="J117" s="19">
        <f t="shared" si="51"/>
        <v>3368342.0745920748</v>
      </c>
      <c r="K117" s="22"/>
      <c r="L117" s="19">
        <f t="shared" si="52"/>
        <v>765000</v>
      </c>
      <c r="M117" s="22"/>
      <c r="N117" s="20"/>
    </row>
    <row r="118" spans="1:14" s="1" customFormat="1" x14ac:dyDescent="0.25">
      <c r="A118" s="15"/>
      <c r="B118" s="12" t="str">
        <f t="shared" si="48"/>
        <v>F</v>
      </c>
      <c r="C118" s="19">
        <f t="shared" si="50"/>
        <v>16025.641025641024</v>
      </c>
      <c r="D118" s="22"/>
      <c r="E118" s="19">
        <f>'Исходные данные'!$C$49*'Исходные данные'!$H$7</f>
        <v>20000</v>
      </c>
      <c r="F118" s="12">
        <f>(C100*D96)*'Исходные данные'!$E$7/12*3</f>
        <v>10000</v>
      </c>
      <c r="G118" s="28"/>
      <c r="H118" s="21"/>
      <c r="I118" s="20"/>
      <c r="J118" s="19">
        <f t="shared" si="51"/>
        <v>1122780.6915306915</v>
      </c>
      <c r="K118" s="22"/>
      <c r="L118" s="19">
        <f t="shared" si="52"/>
        <v>255000</v>
      </c>
      <c r="M118" s="22"/>
      <c r="N118" s="20"/>
    </row>
    <row r="119" spans="1:14" s="1" customFormat="1" x14ac:dyDescent="0.25">
      <c r="A119" s="15"/>
      <c r="B119" s="6" t="str">
        <f t="shared" si="48"/>
        <v>С*</v>
      </c>
      <c r="C119" s="19">
        <f t="shared" si="50"/>
        <v>16025.641025641024</v>
      </c>
      <c r="D119" s="22"/>
      <c r="E119" s="19">
        <f>'Исходные данные'!$C$49*'Исходные данные'!$H$8</f>
        <v>20000</v>
      </c>
      <c r="F119" s="12">
        <f>(C11*D15+C20*D15+C29*D24+C38*D33+C47*D42+C56*D51+C65*D60+C74*D69+C83*D78+C92*D87+C101*D96)*'Исходные данные'!$E$8/12*3</f>
        <v>27642.045454545456</v>
      </c>
      <c r="G119" s="28"/>
      <c r="H119" s="21"/>
      <c r="I119" s="20"/>
      <c r="J119" s="19">
        <f t="shared" si="51"/>
        <v>1122780.6915306915</v>
      </c>
      <c r="K119" s="22"/>
      <c r="L119" s="19">
        <f t="shared" si="52"/>
        <v>255000</v>
      </c>
      <c r="M119" s="22"/>
      <c r="N119" s="20"/>
    </row>
    <row r="120" spans="1:14" s="1" customFormat="1" x14ac:dyDescent="0.25">
      <c r="A120" s="15"/>
      <c r="B120" s="12" t="str">
        <f t="shared" si="48"/>
        <v xml:space="preserve">I </v>
      </c>
      <c r="C120" s="19">
        <f t="shared" si="50"/>
        <v>16025.641025641024</v>
      </c>
      <c r="D120" s="22"/>
      <c r="E120" s="19">
        <f>'Исходные данные'!$C$49*'Исходные данные'!$H$9</f>
        <v>20000</v>
      </c>
      <c r="F120" s="12">
        <f>(C102*D96)*'Исходные данные'!$E$9/12*3</f>
        <v>0</v>
      </c>
      <c r="G120" s="28"/>
      <c r="H120" s="21"/>
      <c r="I120" s="20"/>
      <c r="J120" s="19">
        <f t="shared" si="51"/>
        <v>1122780.6915306915</v>
      </c>
      <c r="K120" s="22"/>
      <c r="L120" s="19">
        <f t="shared" si="52"/>
        <v>255000</v>
      </c>
      <c r="M120" s="22"/>
      <c r="N120" s="20"/>
    </row>
    <row r="121" spans="1:14" s="1" customFormat="1" x14ac:dyDescent="0.25">
      <c r="A121" s="15"/>
      <c r="B121" s="6" t="str">
        <f t="shared" si="48"/>
        <v>R*</v>
      </c>
      <c r="C121" s="19">
        <f t="shared" si="50"/>
        <v>32051.282051282047</v>
      </c>
      <c r="D121" s="22"/>
      <c r="E121" s="19">
        <f>'Исходные данные'!$C$49*'Исходные данные'!$H$10</f>
        <v>40000</v>
      </c>
      <c r="F121" s="12">
        <f>(C13*D15+C22*D15+C31*D24+C40*D33+C49*D42+C58*D51+C67*D60+C76*D69+C85*D78+C94*D87+C103*D96)*'Исходные данные'!$E$10/12*3</f>
        <v>55284.090909090912</v>
      </c>
      <c r="G121" s="28"/>
      <c r="H121" s="21"/>
      <c r="I121" s="20"/>
      <c r="J121" s="19">
        <f t="shared" si="51"/>
        <v>2245561.3830613829</v>
      </c>
      <c r="K121" s="22"/>
      <c r="L121" s="19">
        <f t="shared" si="52"/>
        <v>510000</v>
      </c>
      <c r="M121" s="22"/>
      <c r="N121" s="20"/>
    </row>
    <row r="122" spans="1:14" s="1" customFormat="1" x14ac:dyDescent="0.25">
      <c r="A122" s="15"/>
      <c r="B122" s="6" t="str">
        <f t="shared" si="48"/>
        <v>А*</v>
      </c>
      <c r="C122" s="19">
        <f t="shared" si="50"/>
        <v>16025.641025641024</v>
      </c>
      <c r="D122" s="22"/>
      <c r="E122" s="19">
        <f>'Исходные данные'!$C$49*'Исходные данные'!$H$11</f>
        <v>20000</v>
      </c>
      <c r="F122" s="12">
        <f>(C14*D15+C23*D15+C32*D24+C41*D33+C50*D42+C59*D51+C68*D60+C77*D69+C86*D78+C95*D87+C104*D96)*'Исходные данные'!$G$11/12*3</f>
        <v>27642.045454545456</v>
      </c>
      <c r="G122" s="28"/>
      <c r="H122" s="21"/>
      <c r="I122" s="20"/>
      <c r="J122" s="19">
        <f t="shared" si="51"/>
        <v>1122780.6915306915</v>
      </c>
      <c r="K122" s="22"/>
      <c r="L122" s="19">
        <f t="shared" si="52"/>
        <v>255000</v>
      </c>
      <c r="M122" s="22"/>
      <c r="N122" s="20"/>
    </row>
    <row r="123" spans="1:14" s="1" customFormat="1" x14ac:dyDescent="0.25">
      <c r="A123" s="13" t="s">
        <v>34</v>
      </c>
      <c r="B123" s="4" t="str">
        <f t="shared" si="48"/>
        <v>ВСЕГО:</v>
      </c>
      <c r="C123" s="18">
        <f>SUM(C124:C131)</f>
        <v>230769.23076923069</v>
      </c>
      <c r="D123" s="21">
        <f>'Исходные данные'!E50</f>
        <v>1.3000000000000003</v>
      </c>
      <c r="E123" s="18">
        <f>SUM(E124:E131)</f>
        <v>300000</v>
      </c>
      <c r="F123" s="18">
        <f>SUM(F124:F131)</f>
        <v>853693.18181818177</v>
      </c>
      <c r="G123" s="27">
        <f>SUM(F124:F131)</f>
        <v>853693.18181818177</v>
      </c>
      <c r="H123" s="21">
        <f>G123/(C6+C15+C24+C33+C42+C51+C60+C69+C78+C87+C96+C105)</f>
        <v>3.8567394900462036E-2</v>
      </c>
      <c r="I123" s="20">
        <f>H123/D123/3*12</f>
        <v>0.11866890738603703</v>
      </c>
      <c r="J123" s="18">
        <f>SUM(J124:J131)</f>
        <v>22686383.061383065</v>
      </c>
      <c r="K123" s="21">
        <f>L123/J123</f>
        <v>0.23802824740237774</v>
      </c>
      <c r="L123" s="18">
        <f>SUM(L124:L131)</f>
        <v>5400000</v>
      </c>
      <c r="M123" s="22">
        <f>(G6+G15+G24+G33+G42+G51+G60+G69+G78+G87+G96+G105+G114+G123)/J123</f>
        <v>0.23048717992627757</v>
      </c>
      <c r="N123" s="20">
        <f t="shared" ref="N123" si="53">M123/K123/3*12</f>
        <v>3.8732744107744104</v>
      </c>
    </row>
    <row r="124" spans="1:14" s="1" customFormat="1" x14ac:dyDescent="0.25">
      <c r="A124" s="15"/>
      <c r="B124" s="12" t="str">
        <f t="shared" si="48"/>
        <v>V</v>
      </c>
      <c r="C124" s="19">
        <f>E124/$D$123</f>
        <v>69230.76923076922</v>
      </c>
      <c r="D124" s="22"/>
      <c r="E124" s="19">
        <f>'Исходные данные'!$C$50*'Исходные данные'!$H$4</f>
        <v>90000</v>
      </c>
      <c r="F124" s="12">
        <f>(C106*D105)*'Исходные данные'!$E$4/12*3</f>
        <v>60000.000000000015</v>
      </c>
      <c r="G124" s="28"/>
      <c r="H124" s="21"/>
      <c r="I124" s="20"/>
      <c r="J124" s="19">
        <f>C7+C16+C25+C34+C43+C52+C61+C70+C79+C88+C97+C106+C115+C124</f>
        <v>6805914.9184149187</v>
      </c>
      <c r="K124" s="22"/>
      <c r="L124" s="19">
        <f>E7+E16+E25+E34+E43+E52+E61+E70+E79+E88+E97+E106+E115+E124</f>
        <v>1620000</v>
      </c>
      <c r="M124" s="22"/>
      <c r="N124" s="20"/>
    </row>
    <row r="125" spans="1:14" s="1" customFormat="1" x14ac:dyDescent="0.25">
      <c r="A125" s="15"/>
      <c r="B125" s="6" t="str">
        <f t="shared" si="48"/>
        <v>G*</v>
      </c>
      <c r="C125" s="19">
        <f t="shared" ref="C125:C131" si="54">E125/$D$123</f>
        <v>57692.307692307681</v>
      </c>
      <c r="D125" s="22"/>
      <c r="E125" s="19">
        <f>'Исходные данные'!$C$50*'Исходные данные'!$H$5</f>
        <v>75000</v>
      </c>
      <c r="F125" s="12">
        <f>(C8*D15+C17*D15+C26*D24+C35*D33+C44*D42+C53*D51+C62*D60+C71*D69+C80*D78+C89*D87+C98*D96+C107*D105)*'Исходные данные'!$E$5/12*3</f>
        <v>301420.45454545453</v>
      </c>
      <c r="G125" s="28"/>
      <c r="H125" s="21"/>
      <c r="I125" s="20"/>
      <c r="J125" s="19">
        <f t="shared" ref="J125:J131" si="55">C8+C17+C26+C35+C44+C53+C62+C71+C80+C89+C98+C107+C116+C125</f>
        <v>5671595.7653457653</v>
      </c>
      <c r="K125" s="22"/>
      <c r="L125" s="19">
        <f t="shared" ref="L125:L131" si="56">E8+E17+E26+E35+E44+E53+E62+E71+E80+E89+E98+E107+E116+E125</f>
        <v>1350000</v>
      </c>
      <c r="M125" s="22"/>
      <c r="N125" s="20"/>
    </row>
    <row r="126" spans="1:14" s="1" customFormat="1" x14ac:dyDescent="0.25">
      <c r="A126" s="15"/>
      <c r="B126" s="6" t="str">
        <f t="shared" si="48"/>
        <v>M*</v>
      </c>
      <c r="C126" s="19">
        <f t="shared" si="54"/>
        <v>34615.38461538461</v>
      </c>
      <c r="D126" s="22"/>
      <c r="E126" s="19">
        <f>'Исходные данные'!$C$50*'Исходные данные'!$H$6</f>
        <v>45000</v>
      </c>
      <c r="F126" s="12">
        <f>(C9*D15+C18*D15+C27*D24+C36*D33+C45*D42+C54*D51+C63*D60+C72*D69+C81*D78+C90*D87+C99*D96+C108*D105)*'Исходные данные'!$F$6/12*3</f>
        <v>361704.54545454547</v>
      </c>
      <c r="G126" s="28"/>
      <c r="H126" s="21"/>
      <c r="I126" s="20"/>
      <c r="J126" s="19">
        <f t="shared" si="55"/>
        <v>3402957.4592074594</v>
      </c>
      <c r="K126" s="22"/>
      <c r="L126" s="19">
        <f t="shared" si="56"/>
        <v>810000</v>
      </c>
      <c r="M126" s="22"/>
      <c r="N126" s="20"/>
    </row>
    <row r="127" spans="1:14" s="1" customFormat="1" x14ac:dyDescent="0.25">
      <c r="A127" s="15"/>
      <c r="B127" s="12" t="str">
        <f t="shared" si="48"/>
        <v>F</v>
      </c>
      <c r="C127" s="19">
        <f t="shared" si="54"/>
        <v>11538.461538461535</v>
      </c>
      <c r="D127" s="22"/>
      <c r="E127" s="19">
        <f>'Исходные данные'!$C$50*'Исходные данные'!$H$7</f>
        <v>15000</v>
      </c>
      <c r="F127" s="12">
        <f>(C109*D105)*'Исходные данные'!$E$7/12*3</f>
        <v>10000</v>
      </c>
      <c r="G127" s="28"/>
      <c r="H127" s="21"/>
      <c r="I127" s="20"/>
      <c r="J127" s="19">
        <f t="shared" si="55"/>
        <v>1134319.153069153</v>
      </c>
      <c r="K127" s="22"/>
      <c r="L127" s="19">
        <f t="shared" si="56"/>
        <v>270000</v>
      </c>
      <c r="M127" s="22"/>
      <c r="N127" s="20"/>
    </row>
    <row r="128" spans="1:14" s="1" customFormat="1" x14ac:dyDescent="0.25">
      <c r="A128" s="15"/>
      <c r="B128" s="6" t="str">
        <f t="shared" si="48"/>
        <v>С*</v>
      </c>
      <c r="C128" s="19">
        <f t="shared" si="54"/>
        <v>11538.461538461535</v>
      </c>
      <c r="D128" s="22"/>
      <c r="E128" s="19">
        <f>'Исходные данные'!$C$50*'Исходные данные'!$H$8</f>
        <v>15000</v>
      </c>
      <c r="F128" s="12">
        <f>(C11*D15+C20*D15+C29*D24+C38*D33+C47*D42+C56*D51+C65*D60+C74*D69+C83*D78+C92*D87+C101*D96+C110*D105)*'Исходные данные'!$E$8/12*3</f>
        <v>30142.045454545456</v>
      </c>
      <c r="G128" s="28"/>
      <c r="H128" s="21"/>
      <c r="I128" s="20"/>
      <c r="J128" s="19">
        <f t="shared" si="55"/>
        <v>1134319.153069153</v>
      </c>
      <c r="K128" s="22"/>
      <c r="L128" s="19">
        <f t="shared" si="56"/>
        <v>270000</v>
      </c>
      <c r="M128" s="22"/>
      <c r="N128" s="20"/>
    </row>
    <row r="129" spans="1:14" s="1" customFormat="1" x14ac:dyDescent="0.25">
      <c r="A129" s="15"/>
      <c r="B129" s="12" t="str">
        <f t="shared" si="48"/>
        <v xml:space="preserve">I </v>
      </c>
      <c r="C129" s="19">
        <f t="shared" si="54"/>
        <v>11538.461538461535</v>
      </c>
      <c r="D129" s="22"/>
      <c r="E129" s="19">
        <f>'Исходные данные'!$C$50*'Исходные данные'!$H$9</f>
        <v>15000</v>
      </c>
      <c r="F129" s="12">
        <f>(C111*D105)*'Исходные данные'!$E$9/12*3</f>
        <v>0</v>
      </c>
      <c r="G129" s="28"/>
      <c r="H129" s="21"/>
      <c r="I129" s="20"/>
      <c r="J129" s="19">
        <f t="shared" si="55"/>
        <v>1134319.153069153</v>
      </c>
      <c r="K129" s="22"/>
      <c r="L129" s="19">
        <f t="shared" si="56"/>
        <v>270000</v>
      </c>
      <c r="M129" s="22"/>
      <c r="N129" s="20"/>
    </row>
    <row r="130" spans="1:14" s="1" customFormat="1" x14ac:dyDescent="0.25">
      <c r="A130" s="15"/>
      <c r="B130" s="6" t="str">
        <f t="shared" si="48"/>
        <v>R*</v>
      </c>
      <c r="C130" s="19">
        <f t="shared" si="54"/>
        <v>23076.923076923071</v>
      </c>
      <c r="D130" s="22"/>
      <c r="E130" s="19">
        <f>'Исходные данные'!$C$50*'Исходные данные'!$H$10</f>
        <v>30000</v>
      </c>
      <c r="F130" s="12">
        <f>(C13*D15+C22*D15+C31*D24+C40*D33+C49*D42+C58*D51+C67*D60+C76*D69+C85*D78+C94*D87+C103*D96+C112*D105)*'Исходные данные'!$E$10/12*3</f>
        <v>60284.090909090912</v>
      </c>
      <c r="G130" s="28"/>
      <c r="H130" s="21"/>
      <c r="I130" s="20"/>
      <c r="J130" s="19">
        <f t="shared" si="55"/>
        <v>2268638.3061383059</v>
      </c>
      <c r="K130" s="22"/>
      <c r="L130" s="19">
        <f t="shared" si="56"/>
        <v>540000</v>
      </c>
      <c r="M130" s="22"/>
      <c r="N130" s="20"/>
    </row>
    <row r="131" spans="1:14" s="1" customFormat="1" x14ac:dyDescent="0.25">
      <c r="A131" s="15"/>
      <c r="B131" s="6" t="str">
        <f t="shared" si="48"/>
        <v>А*</v>
      </c>
      <c r="C131" s="19">
        <f t="shared" si="54"/>
        <v>11538.461538461535</v>
      </c>
      <c r="D131" s="22"/>
      <c r="E131" s="19">
        <f>'Исходные данные'!$C$50*'Исходные данные'!$H$11</f>
        <v>15000</v>
      </c>
      <c r="F131" s="12">
        <f>(C14*D15+C23*D15+C32*D24+C41*D33+C50*D42+C59*D51+C68*D60+C77*D69+C86*D78+C95*D87+C104*D96+C113*D105)*'Исходные данные'!$G$11/12*3</f>
        <v>30142.045454545456</v>
      </c>
      <c r="G131" s="28"/>
      <c r="H131" s="21"/>
      <c r="I131" s="20"/>
      <c r="J131" s="19">
        <f t="shared" si="55"/>
        <v>1134319.153069153</v>
      </c>
      <c r="K131" s="22"/>
      <c r="L131" s="19">
        <f t="shared" si="56"/>
        <v>270000</v>
      </c>
      <c r="M131" s="22"/>
      <c r="N131" s="20"/>
    </row>
    <row r="132" spans="1:14" s="1" customFormat="1" x14ac:dyDescent="0.25">
      <c r="A132" s="13" t="s">
        <v>35</v>
      </c>
      <c r="B132" s="4" t="str">
        <f t="shared" si="48"/>
        <v>ВСЕГО:</v>
      </c>
      <c r="C132" s="18">
        <f>SUM(C133:C140)</f>
        <v>214285.71428571423</v>
      </c>
      <c r="D132" s="21">
        <f>'Исходные данные'!E51</f>
        <v>1.4000000000000004</v>
      </c>
      <c r="E132" s="18">
        <f>SUM(E133:E140)</f>
        <v>300000</v>
      </c>
      <c r="F132" s="18">
        <f>SUM(F133:F140)</f>
        <v>918693.18181818177</v>
      </c>
      <c r="G132" s="27">
        <f>SUM(F133:F140)</f>
        <v>918693.18181818177</v>
      </c>
      <c r="H132" s="21">
        <f>G132/(C6+C15+C24+C33+C42+C51+C60+C69+C78+C87+C96+C105+C114)</f>
        <v>4.0911514988992356E-2</v>
      </c>
      <c r="I132" s="20">
        <f>H132/D132/3*12</f>
        <v>0.11689004282569242</v>
      </c>
      <c r="J132" s="18">
        <f>SUM(J133:J140)</f>
        <v>22900668.77566877</v>
      </c>
      <c r="K132" s="21">
        <f>L132/J132</f>
        <v>0.24890102799338629</v>
      </c>
      <c r="L132" s="18">
        <f>SUM(L133:L140)</f>
        <v>5700000</v>
      </c>
      <c r="M132" s="22">
        <f>(G6+G15+G24+G33+G42+G51+G60+G69+G78+G87+G96+G105+G114+G123+G132)/J132</f>
        <v>0.26844690417492434</v>
      </c>
      <c r="N132" s="20">
        <f t="shared" ref="N132" si="57">M132/K132/3*12</f>
        <v>4.3141148325358856</v>
      </c>
    </row>
    <row r="133" spans="1:14" s="1" customFormat="1" x14ac:dyDescent="0.25">
      <c r="A133" s="15"/>
      <c r="B133" s="12" t="str">
        <f t="shared" si="48"/>
        <v>V</v>
      </c>
      <c r="C133" s="19">
        <f>E133/$D$132</f>
        <v>64285.714285714268</v>
      </c>
      <c r="D133" s="22"/>
      <c r="E133" s="19">
        <f>'Исходные данные'!$C$51*'Исходные данные'!$H$4</f>
        <v>90000</v>
      </c>
      <c r="F133" s="12">
        <f>(C115*D114)*'Исходные данные'!$E$4/12*3</f>
        <v>60000</v>
      </c>
      <c r="G133" s="28"/>
      <c r="H133" s="21"/>
      <c r="I133" s="20"/>
      <c r="J133" s="19">
        <f>C7+C16+C25+C34+C43+C52+C61+C70+C79+C88+C97+C106+C115+C124+C133</f>
        <v>6870200.6327006333</v>
      </c>
      <c r="K133" s="22"/>
      <c r="L133" s="19">
        <f>E7+E16+E25+E34+E43+E52+E61+E70+E79+E88+E97+E106+E115+E124+E133</f>
        <v>1710000</v>
      </c>
      <c r="M133" s="22"/>
      <c r="N133" s="20"/>
    </row>
    <row r="134" spans="1:14" s="1" customFormat="1" x14ac:dyDescent="0.25">
      <c r="A134" s="15"/>
      <c r="B134" s="6" t="str">
        <f t="shared" si="48"/>
        <v>G*</v>
      </c>
      <c r="C134" s="19">
        <f t="shared" ref="C134:C140" si="58">E134/$D$132</f>
        <v>53571.428571428558</v>
      </c>
      <c r="D134" s="22"/>
      <c r="E134" s="19">
        <f>'Исходные данные'!$C$51*'Исходные данные'!$H$5</f>
        <v>75000</v>
      </c>
      <c r="F134" s="12">
        <f>(C8*D15+C17*D15+C26*D24+C35*D33+C44*D42+C53*D51+C62*D60+C71*D69+C80*D78+C89*D87+C98*D96+C107*D105+C116*D114)*'Исходные данные'!$E$5/12*3</f>
        <v>326420.45454545453</v>
      </c>
      <c r="G134" s="28"/>
      <c r="H134" s="21"/>
      <c r="I134" s="20"/>
      <c r="J134" s="19">
        <f t="shared" ref="J134:J140" si="59">C8+C17+C26+C35+C44+C53+C62+C71+C80+C89+C98+C107+C116+C125+C134</f>
        <v>5725167.1939171935</v>
      </c>
      <c r="K134" s="22"/>
      <c r="L134" s="19">
        <f t="shared" ref="L134:L139" si="60">E8+E17+E26+E35+E44+E53+E62+E71+E80+E89+E98+E107+E116+E125+E134</f>
        <v>1425000</v>
      </c>
      <c r="M134" s="22"/>
      <c r="N134" s="20"/>
    </row>
    <row r="135" spans="1:14" s="1" customFormat="1" x14ac:dyDescent="0.25">
      <c r="A135" s="15"/>
      <c r="B135" s="6" t="str">
        <f t="shared" si="48"/>
        <v>M*</v>
      </c>
      <c r="C135" s="19">
        <f t="shared" si="58"/>
        <v>32142.857142857134</v>
      </c>
      <c r="D135" s="22"/>
      <c r="E135" s="19">
        <f>'Исходные данные'!$C$51*'Исходные данные'!$H$6</f>
        <v>45000</v>
      </c>
      <c r="F135" s="12">
        <f>(C9*D15+C18*D15+C27*D24+C36*D33+C45*D42+C54*D51+C63*D60+C72*D69+C81*D78+C90*D87+C99*D96+C108*D105+C117*D114)*'Исходные данные'!$F$6/12*3</f>
        <v>391704.54545454547</v>
      </c>
      <c r="G135" s="28"/>
      <c r="H135" s="21"/>
      <c r="I135" s="20"/>
      <c r="J135" s="19">
        <f t="shared" si="59"/>
        <v>3435100.3163503166</v>
      </c>
      <c r="K135" s="22"/>
      <c r="L135" s="19">
        <f t="shared" si="60"/>
        <v>855000</v>
      </c>
      <c r="M135" s="22"/>
      <c r="N135" s="20"/>
    </row>
    <row r="136" spans="1:14" s="1" customFormat="1" x14ac:dyDescent="0.25">
      <c r="A136" s="15"/>
      <c r="B136" s="12" t="str">
        <f t="shared" si="48"/>
        <v>F</v>
      </c>
      <c r="C136" s="19">
        <f t="shared" si="58"/>
        <v>10714.285714285712</v>
      </c>
      <c r="D136" s="22"/>
      <c r="E136" s="19">
        <f>'Исходные данные'!$C$51*'Исходные данные'!$H$7</f>
        <v>15000</v>
      </c>
      <c r="F136" s="12">
        <f>(C118*D114)*'Исходные данные'!$E$7/12*3</f>
        <v>10000</v>
      </c>
      <c r="G136" s="28"/>
      <c r="H136" s="21"/>
      <c r="I136" s="20"/>
      <c r="J136" s="19">
        <f t="shared" si="59"/>
        <v>1145033.4387834386</v>
      </c>
      <c r="K136" s="22"/>
      <c r="L136" s="19">
        <f t="shared" si="60"/>
        <v>285000</v>
      </c>
      <c r="M136" s="22"/>
      <c r="N136" s="20"/>
    </row>
    <row r="137" spans="1:14" s="1" customFormat="1" x14ac:dyDescent="0.25">
      <c r="A137" s="15"/>
      <c r="B137" s="6" t="str">
        <f t="shared" si="48"/>
        <v>С*</v>
      </c>
      <c r="C137" s="19">
        <f t="shared" si="58"/>
        <v>10714.285714285712</v>
      </c>
      <c r="D137" s="22"/>
      <c r="E137" s="19">
        <f>'Исходные данные'!$C$51*'Исходные данные'!$H$8</f>
        <v>15000</v>
      </c>
      <c r="F137" s="12">
        <f>(C11*D15+C20*D15+C29*D24+C38*D33+C47*D42+C56*D51+C65*D60+C74*D69+C83*D78+C92*D87+C101*D96+C110*D105+C119*D114)*'Исходные данные'!$E$8/12*3</f>
        <v>32642.045454545456</v>
      </c>
      <c r="G137" s="28"/>
      <c r="H137" s="21"/>
      <c r="I137" s="20"/>
      <c r="J137" s="19">
        <f t="shared" si="59"/>
        <v>1145033.4387834386</v>
      </c>
      <c r="K137" s="22"/>
      <c r="L137" s="19">
        <f t="shared" si="60"/>
        <v>285000</v>
      </c>
      <c r="M137" s="22"/>
      <c r="N137" s="20"/>
    </row>
    <row r="138" spans="1:14" s="1" customFormat="1" x14ac:dyDescent="0.25">
      <c r="A138" s="15"/>
      <c r="B138" s="12" t="str">
        <f t="shared" si="48"/>
        <v xml:space="preserve">I </v>
      </c>
      <c r="C138" s="19">
        <f t="shared" si="58"/>
        <v>10714.285714285712</v>
      </c>
      <c r="D138" s="22"/>
      <c r="E138" s="19">
        <f>'Исходные данные'!$C$51*'Исходные данные'!$H$9</f>
        <v>15000</v>
      </c>
      <c r="F138" s="12">
        <f>(C120*D114)*'Исходные данные'!$E$9/12*3</f>
        <v>0</v>
      </c>
      <c r="G138" s="28"/>
      <c r="H138" s="21"/>
      <c r="I138" s="20"/>
      <c r="J138" s="19">
        <f t="shared" si="59"/>
        <v>1145033.4387834386</v>
      </c>
      <c r="K138" s="22"/>
      <c r="L138" s="19">
        <f t="shared" si="60"/>
        <v>285000</v>
      </c>
      <c r="M138" s="22"/>
      <c r="N138" s="20"/>
    </row>
    <row r="139" spans="1:14" s="1" customFormat="1" x14ac:dyDescent="0.25">
      <c r="A139" s="15"/>
      <c r="B139" s="6" t="str">
        <f t="shared" si="48"/>
        <v>R*</v>
      </c>
      <c r="C139" s="19">
        <f t="shared" si="58"/>
        <v>21428.571428571424</v>
      </c>
      <c r="D139" s="22"/>
      <c r="E139" s="19">
        <f>'Исходные данные'!$C$51*'Исходные данные'!$H$10</f>
        <v>30000</v>
      </c>
      <c r="F139" s="12">
        <f>(C13*D15+C22*D15+C31*D24+C40*D33+C49*D42+C58*D51+C67*D60+C76*D69+C85*D78+C94*D87+C103*D96+C112*D105+C121*D114)*'Исходные данные'!$E$10/12*3</f>
        <v>65284.090909090912</v>
      </c>
      <c r="G139" s="28"/>
      <c r="H139" s="21"/>
      <c r="I139" s="20"/>
      <c r="J139" s="19">
        <f t="shared" si="59"/>
        <v>2290066.8775668773</v>
      </c>
      <c r="K139" s="22"/>
      <c r="L139" s="19">
        <f t="shared" si="60"/>
        <v>570000</v>
      </c>
      <c r="M139" s="22"/>
      <c r="N139" s="20"/>
    </row>
    <row r="140" spans="1:14" s="1" customFormat="1" x14ac:dyDescent="0.25">
      <c r="A140" s="15"/>
      <c r="B140" s="6" t="str">
        <f t="shared" si="48"/>
        <v>А*</v>
      </c>
      <c r="C140" s="19">
        <f t="shared" si="58"/>
        <v>10714.285714285712</v>
      </c>
      <c r="D140" s="22"/>
      <c r="E140" s="19">
        <f>'Исходные данные'!$C$51*'Исходные данные'!$H$11</f>
        <v>15000</v>
      </c>
      <c r="F140" s="12">
        <f>(C14*D15+C23*D15+C32*D24+C41*D33+C50*D42+C59*D51+C68*D60+C77*D69+C86*D78+C95*D87+C104*D96+C113*D105+C122*D114)*'Исходные данные'!$G$11/12*3</f>
        <v>32642.045454545456</v>
      </c>
      <c r="G140" s="28"/>
      <c r="H140" s="21"/>
      <c r="I140" s="20"/>
      <c r="J140" s="19">
        <f t="shared" si="59"/>
        <v>1145033.4387834386</v>
      </c>
      <c r="K140" s="22"/>
      <c r="L140" s="19">
        <f>E14+E23+E32+E41+E50+E59+E68+E77+E86+E95+E104+E113+E122+E131+E140</f>
        <v>285000</v>
      </c>
      <c r="M140" s="22"/>
      <c r="N140" s="20"/>
    </row>
    <row r="141" spans="1:14" s="1" customFormat="1" x14ac:dyDescent="0.25">
      <c r="A141" s="13" t="s">
        <v>36</v>
      </c>
      <c r="B141" s="4" t="str">
        <f t="shared" si="48"/>
        <v>ВСЕГО:</v>
      </c>
      <c r="C141" s="18">
        <f>SUM(C142:C149)</f>
        <v>209523.80952380947</v>
      </c>
      <c r="D141" s="21">
        <f>'Исходные данные'!E52</f>
        <v>1.4318181818181821</v>
      </c>
      <c r="E141" s="18">
        <f>SUM(E142:E149)</f>
        <v>300000</v>
      </c>
      <c r="F141" s="18">
        <f>SUM(F142:F149)</f>
        <v>949943.18181818177</v>
      </c>
      <c r="G141" s="27">
        <f>SUM(F142:F149)</f>
        <v>949943.18181818177</v>
      </c>
      <c r="H141" s="21">
        <f>G141/(C6+C15+C24+C33+C42+C51+C60+C69+C78+C87+C96+C105+C114+C123)</f>
        <v>4.1872835314818536E-2</v>
      </c>
      <c r="I141" s="20">
        <f>H141/D141/3*12</f>
        <v>0.11697807960965176</v>
      </c>
      <c r="J141" s="18">
        <f>SUM(J142:J149)</f>
        <v>23110192.585192584</v>
      </c>
      <c r="K141" s="21">
        <f>L141/J141</f>
        <v>0.25962570315594802</v>
      </c>
      <c r="L141" s="18">
        <f>SUM(L142:L149)</f>
        <v>6000000</v>
      </c>
      <c r="M141" s="22">
        <f>(G6+G15+G24+G33+G42+G51+G60+G69+G78+G87+G96+G105+G114+G123+G132+G141)/J141</f>
        <v>0.3071180299349579</v>
      </c>
      <c r="N141" s="20">
        <f t="shared" ref="N141" si="61">M141/K141/3*12</f>
        <v>4.7317045454545452</v>
      </c>
    </row>
    <row r="142" spans="1:14" s="1" customFormat="1" x14ac:dyDescent="0.25">
      <c r="A142" s="15"/>
      <c r="B142" s="12" t="str">
        <f t="shared" si="48"/>
        <v>V</v>
      </c>
      <c r="C142" s="19">
        <f>E142/$D$141</f>
        <v>62857.142857142848</v>
      </c>
      <c r="D142" s="22"/>
      <c r="E142" s="19">
        <f>'Исходные данные'!$C$52*'Исходные данные'!$H$4</f>
        <v>90000</v>
      </c>
      <c r="F142" s="12">
        <f>(C124*D123)*'Исходные данные'!$E$4/12*3</f>
        <v>45000</v>
      </c>
      <c r="G142" s="28"/>
      <c r="H142" s="21"/>
      <c r="I142" s="20"/>
      <c r="J142" s="19">
        <f>C7+C16+C25+C34+C43+C52+C61+C70+C79+C88+C97+C106+C115+C124+C133+C142</f>
        <v>6933057.775557776</v>
      </c>
      <c r="K142" s="22"/>
      <c r="L142" s="19">
        <f>E7+E16+E25+E34+E43+E52+E61+E70+E79+E88+E97+E106+E115+E124+E133+E142</f>
        <v>1800000</v>
      </c>
      <c r="M142" s="22"/>
      <c r="N142" s="20"/>
    </row>
    <row r="143" spans="1:14" s="1" customFormat="1" x14ac:dyDescent="0.25">
      <c r="A143" s="15"/>
      <c r="B143" s="6" t="str">
        <f t="shared" ref="B143:B174" si="62">B134</f>
        <v>G*</v>
      </c>
      <c r="C143" s="19">
        <f t="shared" ref="C143:C149" si="63">E143/$D$141</f>
        <v>52380.952380952367</v>
      </c>
      <c r="D143" s="22"/>
      <c r="E143" s="19">
        <f>'Исходные данные'!$C$52*'Исходные данные'!$H$5</f>
        <v>75000</v>
      </c>
      <c r="F143" s="12">
        <f>(C8*D15+C17*D15+C26*D24+C35*D33+C44*D42+C53*D51+C62*D60+C71*D69+C80*D78+C89*D87+C98*D96+C107*D105+C116*D114+C125*D123)*'Исходные данные'!$E$5/12*3</f>
        <v>345170.45454545453</v>
      </c>
      <c r="G143" s="28"/>
      <c r="H143" s="21"/>
      <c r="I143" s="20"/>
      <c r="J143" s="19">
        <f t="shared" ref="J143:J149" si="64">C8+C17+C26+C35+C44+C53+C62+C71+C80+C89+C98+C107+C116+C125+C134+C143</f>
        <v>5777548.1462981459</v>
      </c>
      <c r="K143" s="22"/>
      <c r="L143" s="19">
        <f t="shared" ref="L143:L148" si="65">E8+E17+E26+E35+E44+E53+E62+E71+E80+E89+E98+E107+E116+E125+E134+E143</f>
        <v>1500000</v>
      </c>
      <c r="M143" s="22"/>
      <c r="N143" s="20"/>
    </row>
    <row r="144" spans="1:14" s="1" customFormat="1" x14ac:dyDescent="0.25">
      <c r="A144" s="15"/>
      <c r="B144" s="6" t="str">
        <f t="shared" si="62"/>
        <v>M*</v>
      </c>
      <c r="C144" s="19">
        <f t="shared" si="63"/>
        <v>31428.571428571424</v>
      </c>
      <c r="D144" s="22"/>
      <c r="E144" s="19">
        <f>'Исходные данные'!$C$52*'Исходные данные'!$H$6</f>
        <v>45000</v>
      </c>
      <c r="F144" s="12">
        <f>(C9*D15+C18*D15+C27*D24+C36*D33+C45*D42+C54*D51+C63*D60+C72*D69+C81*D78+C90*D87+C99*D96+C108*D105+C117*D114+C126*D123)*'Исходные данные'!$F$6/12*3</f>
        <v>414204.54545454547</v>
      </c>
      <c r="G144" s="28"/>
      <c r="H144" s="21"/>
      <c r="I144" s="20"/>
      <c r="J144" s="19">
        <f t="shared" si="64"/>
        <v>3466528.887778888</v>
      </c>
      <c r="K144" s="22"/>
      <c r="L144" s="19">
        <f t="shared" si="65"/>
        <v>900000</v>
      </c>
      <c r="M144" s="22"/>
      <c r="N144" s="20"/>
    </row>
    <row r="145" spans="1:14" s="1" customFormat="1" x14ac:dyDescent="0.25">
      <c r="A145" s="15"/>
      <c r="B145" s="12" t="str">
        <f t="shared" si="62"/>
        <v>F</v>
      </c>
      <c r="C145" s="19">
        <f t="shared" si="63"/>
        <v>10476.190476190473</v>
      </c>
      <c r="D145" s="22"/>
      <c r="E145" s="19">
        <f>'Исходные данные'!$C$52*'Исходные данные'!$H$7</f>
        <v>15000</v>
      </c>
      <c r="F145" s="12">
        <f>(C127*D123)*'Исходные данные'!$E$7/12*3</f>
        <v>7499.9999999999982</v>
      </c>
      <c r="G145" s="28"/>
      <c r="H145" s="21"/>
      <c r="I145" s="20"/>
      <c r="J145" s="19">
        <f t="shared" si="64"/>
        <v>1155509.6292596292</v>
      </c>
      <c r="K145" s="22"/>
      <c r="L145" s="19">
        <f t="shared" si="65"/>
        <v>300000</v>
      </c>
      <c r="M145" s="22"/>
      <c r="N145" s="20"/>
    </row>
    <row r="146" spans="1:14" s="1" customFormat="1" x14ac:dyDescent="0.25">
      <c r="A146" s="15"/>
      <c r="B146" s="6" t="str">
        <f t="shared" si="62"/>
        <v>С*</v>
      </c>
      <c r="C146" s="19">
        <f t="shared" si="63"/>
        <v>10476.190476190473</v>
      </c>
      <c r="D146" s="22"/>
      <c r="E146" s="19">
        <f>'Исходные данные'!$C$52*'Исходные данные'!$H$8</f>
        <v>15000</v>
      </c>
      <c r="F146" s="12">
        <f>(C11*D15+C20*D15+C29*D24+C38*D33+C47*D42+C56*D51+C65*D60+C74*D69+C83*D78+C92*D87+C101*D96+C110*D105+C119*D114+C128*D123)*'Исходные данные'!$E$8/12*3</f>
        <v>34517.045454545456</v>
      </c>
      <c r="G146" s="28"/>
      <c r="H146" s="21"/>
      <c r="I146" s="20"/>
      <c r="J146" s="19">
        <f t="shared" si="64"/>
        <v>1155509.6292596292</v>
      </c>
      <c r="K146" s="22"/>
      <c r="L146" s="19">
        <f t="shared" si="65"/>
        <v>300000</v>
      </c>
      <c r="M146" s="22"/>
      <c r="N146" s="20"/>
    </row>
    <row r="147" spans="1:14" s="1" customFormat="1" x14ac:dyDescent="0.25">
      <c r="A147" s="15"/>
      <c r="B147" s="12" t="str">
        <f t="shared" si="62"/>
        <v xml:space="preserve">I </v>
      </c>
      <c r="C147" s="19">
        <f t="shared" si="63"/>
        <v>10476.190476190473</v>
      </c>
      <c r="D147" s="22"/>
      <c r="E147" s="19">
        <f>'Исходные данные'!$C$52*'Исходные данные'!$H$9</f>
        <v>15000</v>
      </c>
      <c r="F147" s="12">
        <f>(C129*D123)*'Исходные данные'!$E$9/12*3</f>
        <v>0</v>
      </c>
      <c r="G147" s="28"/>
      <c r="H147" s="21"/>
      <c r="I147" s="20"/>
      <c r="J147" s="19">
        <f t="shared" si="64"/>
        <v>1155509.6292596292</v>
      </c>
      <c r="K147" s="22"/>
      <c r="L147" s="19">
        <f t="shared" si="65"/>
        <v>300000</v>
      </c>
      <c r="M147" s="22"/>
      <c r="N147" s="20"/>
    </row>
    <row r="148" spans="1:14" s="1" customFormat="1" x14ac:dyDescent="0.25">
      <c r="A148" s="15"/>
      <c r="B148" s="6" t="str">
        <f t="shared" si="62"/>
        <v>R*</v>
      </c>
      <c r="C148" s="19">
        <f t="shared" si="63"/>
        <v>20952.380952380947</v>
      </c>
      <c r="D148" s="22"/>
      <c r="E148" s="19">
        <f>'Исходные данные'!$C$52*'Исходные данные'!$H$10</f>
        <v>30000</v>
      </c>
      <c r="F148" s="12">
        <f>(C13*D15+C22*D15+C31*D24+C40*D33+C49*D42+C58*D51+C67*D60+C76*D69+C85*D78+C94*D87+C103*D96+C112*D105+C121*D114+C130*D123)*'Исходные данные'!$E$10/12*3</f>
        <v>69034.090909090912</v>
      </c>
      <c r="G148" s="28"/>
      <c r="H148" s="21"/>
      <c r="I148" s="20"/>
      <c r="J148" s="19">
        <f t="shared" si="64"/>
        <v>2311019.2585192584</v>
      </c>
      <c r="K148" s="22"/>
      <c r="L148" s="19">
        <f t="shared" si="65"/>
        <v>600000</v>
      </c>
      <c r="M148" s="22"/>
      <c r="N148" s="20"/>
    </row>
    <row r="149" spans="1:14" s="1" customFormat="1" x14ac:dyDescent="0.25">
      <c r="A149" s="15"/>
      <c r="B149" s="6" t="str">
        <f t="shared" si="62"/>
        <v>А*</v>
      </c>
      <c r="C149" s="19">
        <f t="shared" si="63"/>
        <v>10476.190476190473</v>
      </c>
      <c r="D149" s="22"/>
      <c r="E149" s="19">
        <f>'Исходные данные'!$C$52*'Исходные данные'!$H$11</f>
        <v>15000</v>
      </c>
      <c r="F149" s="12">
        <f>(C14*D15+C23*D15+C32*D24+C41*D33+C50*D42+C59*D51+C68*D60+C77*D69+C86*D78+C95*D87+C104*D96+C113*D105+C122*D114+C131*D123)*'Исходные данные'!$G$11/12*3</f>
        <v>34517.045454545456</v>
      </c>
      <c r="G149" s="28"/>
      <c r="H149" s="21"/>
      <c r="I149" s="20"/>
      <c r="J149" s="19">
        <f t="shared" si="64"/>
        <v>1155509.6292596292</v>
      </c>
      <c r="K149" s="22"/>
      <c r="L149" s="19">
        <f>E14+E23+E32+E41+E50+E59+E68+E77+E86+E95+E104+E113+E122+E131+E140+E149</f>
        <v>300000</v>
      </c>
      <c r="M149" s="22"/>
      <c r="N149" s="20"/>
    </row>
    <row r="150" spans="1:14" s="1" customFormat="1" x14ac:dyDescent="0.25">
      <c r="A150" s="13" t="s">
        <v>37</v>
      </c>
      <c r="B150" s="4" t="str">
        <f t="shared" si="62"/>
        <v>ВСЕГО:</v>
      </c>
      <c r="C150" s="18">
        <f>SUM(C151:C158)</f>
        <v>199999.99999999997</v>
      </c>
      <c r="D150" s="21">
        <f>'Исходные данные'!E53</f>
        <v>1.5000000000000004</v>
      </c>
      <c r="E150" s="18">
        <f>SUM(E151:E158)</f>
        <v>300000</v>
      </c>
      <c r="F150" s="18">
        <f>SUM(F151:F158)</f>
        <v>998693.18181818177</v>
      </c>
      <c r="G150" s="27">
        <f>SUM(F151:F158)</f>
        <v>998693.18181818177</v>
      </c>
      <c r="H150" s="21">
        <f>G150/(C6+C15+C24+C33+C42+C51+C60+C69+C78+C87+C96+C105+C114+C123+C132)</f>
        <v>4.3609782386759867E-2</v>
      </c>
      <c r="I150" s="20">
        <f>H150/D150/3*12</f>
        <v>0.11629275303135961</v>
      </c>
      <c r="J150" s="18">
        <f>SUM(J151:J158)</f>
        <v>23310192.585192584</v>
      </c>
      <c r="K150" s="21">
        <f>L150/J150</f>
        <v>0.2702680373392527</v>
      </c>
      <c r="L150" s="18">
        <f>SUM(L151:L158)</f>
        <v>6300000</v>
      </c>
      <c r="M150" s="22">
        <f>(G6+G15+G24+G33+G42+G51+G60+G69+G78+G87+G96+G105+G114+G123+G132+G141+G150)/J150</f>
        <v>0.34732660274728955</v>
      </c>
      <c r="N150" s="20">
        <f>M150/K150/3*12</f>
        <v>5.1404761904761891</v>
      </c>
    </row>
    <row r="151" spans="1:14" s="1" customFormat="1" x14ac:dyDescent="0.25">
      <c r="A151" s="15"/>
      <c r="B151" s="12" t="str">
        <f t="shared" si="62"/>
        <v>V</v>
      </c>
      <c r="C151" s="19">
        <f t="shared" ref="C151:C158" si="66">E151/$D$150</f>
        <v>59999.999999999985</v>
      </c>
      <c r="D151" s="22"/>
      <c r="E151" s="19">
        <f>'Исходные данные'!$C$53*'Исходные данные'!$H$4</f>
        <v>90000</v>
      </c>
      <c r="F151" s="12">
        <f>(C133*D132)*'Исходные данные'!$E$4/12*3</f>
        <v>45000</v>
      </c>
      <c r="G151" s="28"/>
      <c r="H151" s="21"/>
      <c r="I151" s="20"/>
      <c r="J151" s="19">
        <f>C7+C16+C25+C34+C43+C52+C61+C70+C79+C88+C97+C106+C115+C124+C133+C142+C151</f>
        <v>6993057.775557776</v>
      </c>
      <c r="K151" s="22"/>
      <c r="L151" s="19">
        <f>E7+E16+E25+E34+E43+E52+E61+E70+E79+E88+E97+E106+E115+E124+E133+E142+E151</f>
        <v>1890000</v>
      </c>
      <c r="M151" s="22"/>
      <c r="N151" s="20"/>
    </row>
    <row r="152" spans="1:14" s="1" customFormat="1" x14ac:dyDescent="0.25">
      <c r="A152" s="15"/>
      <c r="B152" s="6" t="str">
        <f t="shared" si="62"/>
        <v>G*</v>
      </c>
      <c r="C152" s="19">
        <f t="shared" si="66"/>
        <v>49999.999999999985</v>
      </c>
      <c r="D152" s="22"/>
      <c r="E152" s="19">
        <f>'Исходные данные'!$C$53*'Исходные данные'!$H$5</f>
        <v>75000</v>
      </c>
      <c r="F152" s="12">
        <f>(C8*D15+C17*D15+C26*D24+C35*D33+C44*D42+C53*D51+C62*D60+C71*D69+C80*D78+C89*D87+C98*D96+C107*D105+C116*D114+C125*D123+C134*D132)*'Исходные данные'!$E$5/12*3</f>
        <v>363920.45454545453</v>
      </c>
      <c r="G152" s="28"/>
      <c r="H152" s="21"/>
      <c r="I152" s="20"/>
      <c r="J152" s="19">
        <f t="shared" ref="J152:J158" si="67">C8+C17+C26+C35+C44+C53+C62+C71+C80+C89+C98+C107+C116+C125+C134+C143+C152</f>
        <v>5827548.1462981459</v>
      </c>
      <c r="K152" s="22"/>
      <c r="L152" s="19">
        <f t="shared" ref="L152:L158" si="68">E8+E17+E26+E35+E44+E53+E62+E71+E80+E89+E98+E107+E116+E125+E134+E143+E152</f>
        <v>1575000</v>
      </c>
      <c r="M152" s="22"/>
      <c r="N152" s="20"/>
    </row>
    <row r="153" spans="1:14" s="1" customFormat="1" x14ac:dyDescent="0.25">
      <c r="A153" s="15"/>
      <c r="B153" s="6" t="str">
        <f t="shared" si="62"/>
        <v>M*</v>
      </c>
      <c r="C153" s="19">
        <f t="shared" si="66"/>
        <v>29999.999999999993</v>
      </c>
      <c r="D153" s="22"/>
      <c r="E153" s="19">
        <f>'Исходные данные'!$C$53*'Исходные данные'!$H$6</f>
        <v>45000</v>
      </c>
      <c r="F153" s="12">
        <f>(C9*D15+C18*D15+C27*D24+C36*D33+C45*D42+C54*D51+C63*D60+C72*D69+C81*D78+C90*D87+C99*D96+C108*D105+C117*D114+C126*D123+C135*D132)*'Исходные данные'!$F$6/12*3</f>
        <v>436704.54545454547</v>
      </c>
      <c r="G153" s="28"/>
      <c r="H153" s="21"/>
      <c r="I153" s="20"/>
      <c r="J153" s="19">
        <f t="shared" si="67"/>
        <v>3496528.887778888</v>
      </c>
      <c r="K153" s="22"/>
      <c r="L153" s="19">
        <f t="shared" si="68"/>
        <v>945000</v>
      </c>
      <c r="M153" s="22"/>
      <c r="N153" s="20"/>
    </row>
    <row r="154" spans="1:14" s="1" customFormat="1" x14ac:dyDescent="0.25">
      <c r="A154" s="15"/>
      <c r="B154" s="12" t="str">
        <f t="shared" si="62"/>
        <v>F</v>
      </c>
      <c r="C154" s="19">
        <f t="shared" si="66"/>
        <v>9999.9999999999964</v>
      </c>
      <c r="D154" s="22"/>
      <c r="E154" s="19">
        <f>'Исходные данные'!$C$53*'Исходные данные'!$H$7</f>
        <v>15000</v>
      </c>
      <c r="F154" s="12">
        <f>(C136*D132)*'Исходные данные'!$E$7/12*3</f>
        <v>7500</v>
      </c>
      <c r="G154" s="28"/>
      <c r="H154" s="21"/>
      <c r="I154" s="20"/>
      <c r="J154" s="19">
        <f t="shared" si="67"/>
        <v>1165509.6292596292</v>
      </c>
      <c r="K154" s="22"/>
      <c r="L154" s="19">
        <f t="shared" si="68"/>
        <v>315000</v>
      </c>
      <c r="M154" s="22"/>
      <c r="N154" s="20"/>
    </row>
    <row r="155" spans="1:14" s="1" customFormat="1" x14ac:dyDescent="0.25">
      <c r="A155" s="15"/>
      <c r="B155" s="6" t="str">
        <f t="shared" si="62"/>
        <v>С*</v>
      </c>
      <c r="C155" s="19">
        <f t="shared" si="66"/>
        <v>9999.9999999999964</v>
      </c>
      <c r="D155" s="22"/>
      <c r="E155" s="19">
        <f>'Исходные данные'!$C$53*'Исходные данные'!$H$8</f>
        <v>15000</v>
      </c>
      <c r="F155" s="12">
        <f>(C11*D15+C20*D15+C29*D24+C38*D33+C47*D42+C56*D51+C65*D60+C74*D69+C83*D78+C92*D87+C101*D96+C110*D105+C119*D114+C128*D123+C137*D132)*'Исходные данные'!$E$8/12*3</f>
        <v>36392.045454545456</v>
      </c>
      <c r="G155" s="28"/>
      <c r="H155" s="21"/>
      <c r="I155" s="20"/>
      <c r="J155" s="19">
        <f t="shared" si="67"/>
        <v>1165509.6292596292</v>
      </c>
      <c r="K155" s="22"/>
      <c r="L155" s="19">
        <f t="shared" si="68"/>
        <v>315000</v>
      </c>
      <c r="M155" s="22"/>
      <c r="N155" s="20"/>
    </row>
    <row r="156" spans="1:14" s="1" customFormat="1" x14ac:dyDescent="0.25">
      <c r="A156" s="15"/>
      <c r="B156" s="12" t="str">
        <f t="shared" si="62"/>
        <v xml:space="preserve">I </v>
      </c>
      <c r="C156" s="19">
        <f t="shared" si="66"/>
        <v>9999.9999999999964</v>
      </c>
      <c r="D156" s="22"/>
      <c r="E156" s="19">
        <f>'Исходные данные'!$C$53*'Исходные данные'!$H$9</f>
        <v>15000</v>
      </c>
      <c r="F156" s="12">
        <f>(C138*D132)*'Исходные данные'!$E$9/12*3</f>
        <v>0</v>
      </c>
      <c r="G156" s="28"/>
      <c r="H156" s="21"/>
      <c r="I156" s="20"/>
      <c r="J156" s="19">
        <f t="shared" si="67"/>
        <v>1165509.6292596292</v>
      </c>
      <c r="K156" s="22"/>
      <c r="L156" s="19">
        <f t="shared" si="68"/>
        <v>315000</v>
      </c>
      <c r="M156" s="22"/>
      <c r="N156" s="20"/>
    </row>
    <row r="157" spans="1:14" s="1" customFormat="1" x14ac:dyDescent="0.25">
      <c r="A157" s="15"/>
      <c r="B157" s="6" t="str">
        <f t="shared" si="62"/>
        <v>R*</v>
      </c>
      <c r="C157" s="19">
        <f t="shared" si="66"/>
        <v>19999.999999999993</v>
      </c>
      <c r="D157" s="22"/>
      <c r="E157" s="19">
        <f>'Исходные данные'!$C$53*'Исходные данные'!$H$10</f>
        <v>30000</v>
      </c>
      <c r="F157" s="12">
        <f>(C13*D15+C22*D15+C31*D24+C40*D33+C49*D42+C58*D51+C67*D60+C76*D69+C85*D78+C94*D87+C103*D96+C112*D105+C121*D114+C130*D123+C139*D132)*'Исходные данные'!$E$10/12*3</f>
        <v>72784.090909090912</v>
      </c>
      <c r="G157" s="28"/>
      <c r="H157" s="21"/>
      <c r="I157" s="20"/>
      <c r="J157" s="19">
        <f t="shared" si="67"/>
        <v>2331019.2585192584</v>
      </c>
      <c r="K157" s="22"/>
      <c r="L157" s="19">
        <f t="shared" si="68"/>
        <v>630000</v>
      </c>
      <c r="M157" s="22"/>
      <c r="N157" s="20"/>
    </row>
    <row r="158" spans="1:14" s="1" customFormat="1" x14ac:dyDescent="0.25">
      <c r="A158" s="15"/>
      <c r="B158" s="6" t="str">
        <f t="shared" si="62"/>
        <v>А*</v>
      </c>
      <c r="C158" s="19">
        <f t="shared" si="66"/>
        <v>9999.9999999999964</v>
      </c>
      <c r="D158" s="22"/>
      <c r="E158" s="19">
        <f>'Исходные данные'!$C$53*'Исходные данные'!$H$11</f>
        <v>15000</v>
      </c>
      <c r="F158" s="12">
        <f>(C14*D15+C23*D15+C32*D24+C41*D33+C50*D42+C59*D51+C68*D60+C77*D69+C86*D78+C95*D87+C104*D96+C113*D105+C122*D114+C131*D123+C140*D132)*'Исходные данные'!$G$11/12*3</f>
        <v>36392.045454545456</v>
      </c>
      <c r="G158" s="28"/>
      <c r="H158" s="21"/>
      <c r="I158" s="20"/>
      <c r="J158" s="19">
        <f t="shared" si="67"/>
        <v>1165509.6292596292</v>
      </c>
      <c r="K158" s="22"/>
      <c r="L158" s="19">
        <f t="shared" si="68"/>
        <v>315000</v>
      </c>
      <c r="M158" s="22"/>
      <c r="N158" s="20"/>
    </row>
    <row r="159" spans="1:14" s="1" customFormat="1" x14ac:dyDescent="0.25">
      <c r="A159" s="13" t="s">
        <v>38</v>
      </c>
      <c r="B159" s="4" t="str">
        <f t="shared" si="62"/>
        <v>ВСЕГО:</v>
      </c>
      <c r="C159" s="18">
        <f>SUM(C160:C167)</f>
        <v>191666.66666666666</v>
      </c>
      <c r="D159" s="21">
        <f>'Исходные данные'!E54</f>
        <v>1.5652173913043483</v>
      </c>
      <c r="E159" s="18">
        <f>SUM(E160:E167)</f>
        <v>300000</v>
      </c>
      <c r="F159" s="18">
        <f>SUM(F160:F167)</f>
        <v>1047443.1818181818</v>
      </c>
      <c r="G159" s="27">
        <f>SUM(F160:F167)</f>
        <v>1047443.1818181818</v>
      </c>
      <c r="H159" s="21">
        <f>G159/(C6+C15+C24+C33+C42+C51+C60+C69+C78+C87+C96+C105+C114+C123+C132+C141)</f>
        <v>4.532386209924149E-2</v>
      </c>
      <c r="I159" s="20">
        <f>H159/D159/3*12</f>
        <v>0.11582764758695044</v>
      </c>
      <c r="J159" s="18">
        <f>SUM(J160:J167)</f>
        <v>23501859.251859255</v>
      </c>
      <c r="K159" s="21">
        <f>L159/J159</f>
        <v>0.28082884546582704</v>
      </c>
      <c r="L159" s="18">
        <f>SUM(L160:L167)</f>
        <v>6600000</v>
      </c>
      <c r="M159" s="22">
        <f>(G6+G15+G24+G33+G42+G51+G60+G69+G78+G87+G96+G105+G114+G123+G132+G141+G150+G159)/J159</f>
        <v>0.38906254538541735</v>
      </c>
      <c r="N159" s="20">
        <f t="shared" ref="N159" si="69">M159/K159/3*12</f>
        <v>5.5416322314049582</v>
      </c>
    </row>
    <row r="160" spans="1:14" s="1" customFormat="1" x14ac:dyDescent="0.25">
      <c r="A160" s="15"/>
      <c r="B160" s="12" t="str">
        <f t="shared" si="62"/>
        <v>V</v>
      </c>
      <c r="C160" s="19">
        <f>E160/$D$159</f>
        <v>57499.999999999978</v>
      </c>
      <c r="D160" s="22"/>
      <c r="E160" s="19">
        <f>'Исходные данные'!$C$54*'Исходные данные'!$H$4</f>
        <v>90000</v>
      </c>
      <c r="F160" s="12">
        <f>(C142*D141)*'Исходные данные'!$E$4/12*3</f>
        <v>45000</v>
      </c>
      <c r="G160" s="28"/>
      <c r="H160" s="21"/>
      <c r="I160" s="20"/>
      <c r="J160" s="19">
        <f>C7+C16+C25+C34+C43+C52+C61+C70+C79+C88+C97+C106+C115+C124+C133+C142+C151+C160</f>
        <v>7050557.775557776</v>
      </c>
      <c r="K160" s="22"/>
      <c r="L160" s="19">
        <f>E7+E16+E25+E34+E43+E52+E61+E70+E79+E88+E97+E106+E115+E124+E133+E142+E151+E160</f>
        <v>1980000</v>
      </c>
      <c r="M160" s="22"/>
      <c r="N160" s="20"/>
    </row>
    <row r="161" spans="1:14" s="1" customFormat="1" x14ac:dyDescent="0.25">
      <c r="A161" s="15"/>
      <c r="B161" s="6" t="str">
        <f t="shared" si="62"/>
        <v>G*</v>
      </c>
      <c r="C161" s="19">
        <f t="shared" ref="C161:C167" si="70">E161/$D$159</f>
        <v>47916.66666666665</v>
      </c>
      <c r="D161" s="22"/>
      <c r="E161" s="19">
        <f>'Исходные данные'!$C$54*'Исходные данные'!$H$5</f>
        <v>75000</v>
      </c>
      <c r="F161" s="12">
        <f>(C8*D15+C17*D15+C26*D24+C35*D33+C44*D42+C53*D51+C62*D60+C71*D69+C80*D78+C89*D87+C98*D96+C107*D105+C116*D114+C125*D123+C134*D132+C143*D141)*'Исходные данные'!$E$5/12*3</f>
        <v>382670.45454545453</v>
      </c>
      <c r="G161" s="28"/>
      <c r="H161" s="21"/>
      <c r="I161" s="20"/>
      <c r="J161" s="19">
        <f t="shared" ref="J161:J167" si="71">C8+C17+C26+C35+C44+C53+C62+C71+C80+C89+C98+C107+C116+C125+C134+C143+C152+C161</f>
        <v>5875464.8129648129</v>
      </c>
      <c r="K161" s="22"/>
      <c r="L161" s="19">
        <f t="shared" ref="L161:L167" si="72">E8+E17+E26+E35+E44+E53+E62+E71+E80+E89+E98+E107+E116+E125+E134+E143+E152+E161</f>
        <v>1650000</v>
      </c>
      <c r="M161" s="22"/>
      <c r="N161" s="20"/>
    </row>
    <row r="162" spans="1:14" s="1" customFormat="1" x14ac:dyDescent="0.25">
      <c r="A162" s="15"/>
      <c r="B162" s="6" t="str">
        <f t="shared" si="62"/>
        <v>M*</v>
      </c>
      <c r="C162" s="19">
        <f t="shared" si="70"/>
        <v>28749.999999999989</v>
      </c>
      <c r="D162" s="22"/>
      <c r="E162" s="19">
        <f>'Исходные данные'!$C$54*'Исходные данные'!$H$6</f>
        <v>45000</v>
      </c>
      <c r="F162" s="12">
        <f>(C9*D15+C18*D15+C27*D24+C36*D33+C45*D42+C54*D51+C63*D60+C72*D69+C81*D78+C90*D87+C99*D96+C108*D105+C117*D114+C126*D123+C135*D132+C144*D141)*'Исходные данные'!$F$6/12*3</f>
        <v>459204.54545454547</v>
      </c>
      <c r="G162" s="28"/>
      <c r="H162" s="21"/>
      <c r="I162" s="20"/>
      <c r="J162" s="19">
        <f t="shared" si="71"/>
        <v>3525278.887778888</v>
      </c>
      <c r="K162" s="22"/>
      <c r="L162" s="19">
        <f t="shared" si="72"/>
        <v>990000</v>
      </c>
      <c r="M162" s="22"/>
      <c r="N162" s="20"/>
    </row>
    <row r="163" spans="1:14" s="1" customFormat="1" x14ac:dyDescent="0.25">
      <c r="A163" s="15"/>
      <c r="B163" s="12" t="str">
        <f t="shared" si="62"/>
        <v>F</v>
      </c>
      <c r="C163" s="19">
        <f t="shared" si="70"/>
        <v>9583.3333333333303</v>
      </c>
      <c r="D163" s="22"/>
      <c r="E163" s="19">
        <f>'Исходные данные'!$C$54*'Исходные данные'!$H$7</f>
        <v>15000</v>
      </c>
      <c r="F163" s="12">
        <f>(C145*D141)*'Исходные данные'!$E$7/12*3</f>
        <v>7499.9999999999982</v>
      </c>
      <c r="G163" s="28"/>
      <c r="H163" s="21"/>
      <c r="I163" s="20"/>
      <c r="J163" s="19">
        <f t="shared" si="71"/>
        <v>1175092.9625929624</v>
      </c>
      <c r="K163" s="22"/>
      <c r="L163" s="19">
        <f t="shared" si="72"/>
        <v>330000</v>
      </c>
      <c r="M163" s="22"/>
      <c r="N163" s="20"/>
    </row>
    <row r="164" spans="1:14" s="1" customFormat="1" x14ac:dyDescent="0.25">
      <c r="A164" s="15"/>
      <c r="B164" s="6" t="str">
        <f t="shared" si="62"/>
        <v>С*</v>
      </c>
      <c r="C164" s="19">
        <f t="shared" si="70"/>
        <v>9583.3333333333303</v>
      </c>
      <c r="D164" s="22"/>
      <c r="E164" s="19">
        <f>'Исходные данные'!$C$54*'Исходные данные'!$H$8</f>
        <v>15000</v>
      </c>
      <c r="F164" s="12">
        <f>(C11*D15+C20*D15+C29*D24+C38*D33+C47*D42+C56*D51+C65*D60+C74*D69+C83*D78+C92*D87+C101*D96+C110*D105+C119*D114+C128*D123+C137*D132+C146*D141)*'Исходные данные'!$E$8/12*3</f>
        <v>38267.045454545456</v>
      </c>
      <c r="G164" s="28"/>
      <c r="H164" s="21"/>
      <c r="I164" s="20"/>
      <c r="J164" s="19">
        <f t="shared" si="71"/>
        <v>1175092.9625929624</v>
      </c>
      <c r="K164" s="22"/>
      <c r="L164" s="19">
        <f t="shared" si="72"/>
        <v>330000</v>
      </c>
      <c r="M164" s="22"/>
      <c r="N164" s="20"/>
    </row>
    <row r="165" spans="1:14" s="1" customFormat="1" x14ac:dyDescent="0.25">
      <c r="A165" s="15"/>
      <c r="B165" s="12" t="str">
        <f t="shared" si="62"/>
        <v xml:space="preserve">I </v>
      </c>
      <c r="C165" s="19">
        <f t="shared" si="70"/>
        <v>9583.3333333333303</v>
      </c>
      <c r="D165" s="22"/>
      <c r="E165" s="19">
        <f>'Исходные данные'!$C$54*'Исходные данные'!$H$9</f>
        <v>15000</v>
      </c>
      <c r="F165" s="12">
        <f>(C147*D141)*'Исходные данные'!$E$9/12*3</f>
        <v>0</v>
      </c>
      <c r="G165" s="28"/>
      <c r="H165" s="21"/>
      <c r="I165" s="20"/>
      <c r="J165" s="19">
        <f t="shared" si="71"/>
        <v>1175092.9625929624</v>
      </c>
      <c r="K165" s="22"/>
      <c r="L165" s="19">
        <f t="shared" si="72"/>
        <v>330000</v>
      </c>
      <c r="M165" s="22"/>
      <c r="N165" s="20"/>
    </row>
    <row r="166" spans="1:14" s="1" customFormat="1" x14ac:dyDescent="0.25">
      <c r="A166" s="15"/>
      <c r="B166" s="6" t="str">
        <f t="shared" si="62"/>
        <v>R*</v>
      </c>
      <c r="C166" s="19">
        <f t="shared" si="70"/>
        <v>19166.666666666661</v>
      </c>
      <c r="D166" s="22"/>
      <c r="E166" s="19">
        <f>'Исходные данные'!$C$54*'Исходные данные'!$H$10</f>
        <v>30000</v>
      </c>
      <c r="F166" s="12">
        <f>(C13*D15+C22*D15+C31*D24+C40*D33+C49*D42+C58*D51+C67*D60+C76*D69+C85*D78+C94*D87+C103*D96+C112*D105+C121*D114+C130*D123+C139*D132+C148*D141)*'Исходные данные'!$E$10/12*3</f>
        <v>76534.090909090912</v>
      </c>
      <c r="G166" s="28"/>
      <c r="H166" s="21"/>
      <c r="I166" s="20"/>
      <c r="J166" s="19">
        <f t="shared" si="71"/>
        <v>2350185.9251859249</v>
      </c>
      <c r="K166" s="22"/>
      <c r="L166" s="19">
        <f t="shared" si="72"/>
        <v>660000</v>
      </c>
      <c r="M166" s="22"/>
      <c r="N166" s="20"/>
    </row>
    <row r="167" spans="1:14" s="1" customFormat="1" x14ac:dyDescent="0.25">
      <c r="A167" s="15"/>
      <c r="B167" s="6" t="str">
        <f t="shared" si="62"/>
        <v>А*</v>
      </c>
      <c r="C167" s="19">
        <f t="shared" si="70"/>
        <v>9583.3333333333303</v>
      </c>
      <c r="D167" s="22"/>
      <c r="E167" s="19">
        <f>'Исходные данные'!$C$54*'Исходные данные'!$H$11</f>
        <v>15000</v>
      </c>
      <c r="F167" s="12">
        <f>(C14*D15+C23*D15+C32*D24+C41*D33+C50*D42+C59*D51+C68*D60+C77*D69+C86*D78+C95*D87+C104*D96+C113*D105+C122*D114+C131*D123+C140*D132+C149*D141)*'Исходные данные'!$G$11/12*3</f>
        <v>38267.045454545456</v>
      </c>
      <c r="G167" s="28"/>
      <c r="H167" s="21"/>
      <c r="I167" s="20"/>
      <c r="J167" s="19">
        <f t="shared" si="71"/>
        <v>1175092.9625929624</v>
      </c>
      <c r="K167" s="22"/>
      <c r="L167" s="19">
        <f t="shared" si="72"/>
        <v>330000</v>
      </c>
      <c r="M167" s="22"/>
      <c r="N167" s="20"/>
    </row>
    <row r="168" spans="1:14" s="1" customFormat="1" x14ac:dyDescent="0.25">
      <c r="A168" s="13" t="s">
        <v>39</v>
      </c>
      <c r="B168" s="4" t="str">
        <f t="shared" si="62"/>
        <v>ВСЕГО:</v>
      </c>
      <c r="C168" s="18">
        <f>SUM(C169:C176)</f>
        <v>187499.99999999997</v>
      </c>
      <c r="D168" s="21">
        <f>'Исходные данные'!E55</f>
        <v>1.6000000000000005</v>
      </c>
      <c r="E168" s="18">
        <f>SUM(E169:E176)</f>
        <v>300000</v>
      </c>
      <c r="F168" s="18">
        <f>SUM(F169:F176)</f>
        <v>1096193.1818181816</v>
      </c>
      <c r="G168" s="27">
        <f>SUM(F169:F176)</f>
        <v>1096193.1818181816</v>
      </c>
      <c r="H168" s="21">
        <f>G168/(C6+C15+C24+C33+C42+C51+C60+C69+C78+C87+C96+C105+C114+C123+C132+C141+C150)</f>
        <v>4.7026345999154048E-2</v>
      </c>
      <c r="I168" s="20">
        <f>H168/D168/3*12</f>
        <v>0.11756586499788509</v>
      </c>
      <c r="J168" s="18">
        <f>SUM(J169:J176)</f>
        <v>23689359.251859255</v>
      </c>
      <c r="K168" s="21">
        <f>L168/J168</f>
        <v>0.2912700139603166</v>
      </c>
      <c r="L168" s="18">
        <f>SUM(L169:L176)</f>
        <v>6900000</v>
      </c>
      <c r="M168" s="22">
        <f>(G6+G15+G24+G33+G42+G51+G60+G69+G78+G87+G96+G105+G114+G123+G132+G141+G150+G159+G168)/J168</f>
        <v>0.43225678899832159</v>
      </c>
      <c r="N168" s="20">
        <f>M168/K168/3*12</f>
        <v>5.9361660079051379</v>
      </c>
    </row>
    <row r="169" spans="1:14" x14ac:dyDescent="0.25">
      <c r="A169" s="15"/>
      <c r="B169" s="12" t="str">
        <f t="shared" si="62"/>
        <v>V</v>
      </c>
      <c r="C169" s="19">
        <f>E169/$D$168</f>
        <v>56249.999999999978</v>
      </c>
      <c r="D169" s="22"/>
      <c r="E169" s="19">
        <f>'Исходные данные'!$C$55*'Исходные данные'!$H$4</f>
        <v>90000</v>
      </c>
      <c r="F169" s="12">
        <f>(C151*D150)*'Исходные данные'!$E$4/12*3</f>
        <v>45000</v>
      </c>
      <c r="G169" s="28"/>
      <c r="H169" s="21"/>
      <c r="I169" s="20"/>
      <c r="J169" s="19">
        <f>C7+C16+C25+C34+C43+C52+C61+C70+C79+C88+C97+C106+C115+C124+C133+C142+C151+C160+C169</f>
        <v>7106807.775557776</v>
      </c>
      <c r="K169" s="22"/>
      <c r="L169" s="19">
        <f>E7+E16+E25+E34+E43+E52+E61+E70+E79+E88+E97+E106+E115+E124+E133+E142+E151+E160+E169</f>
        <v>2070000</v>
      </c>
      <c r="M169" s="22"/>
      <c r="N169" s="20"/>
    </row>
    <row r="170" spans="1:14" x14ac:dyDescent="0.25">
      <c r="A170" s="15"/>
      <c r="B170" s="6" t="str">
        <f t="shared" si="62"/>
        <v>G*</v>
      </c>
      <c r="C170" s="19">
        <f t="shared" ref="C170:C176" si="73">E170/$D$168</f>
        <v>46874.999999999985</v>
      </c>
      <c r="D170" s="22"/>
      <c r="E170" s="19">
        <f>'Исходные данные'!$C$55*'Исходные данные'!$H$5</f>
        <v>75000</v>
      </c>
      <c r="F170" s="12">
        <f>(C8*D15+C17*D15+C26*D24+C35*D33+C44*D42+C53*D51+C62*D60+C71*D69+C80*D78+C89*D87+C98*D96+C107*D105+C116*D114+C125*D123+C134*D132+C143*D141+C152*D150)*'Исходные данные'!$E$5/12*3</f>
        <v>401420.45454545453</v>
      </c>
      <c r="G170" s="28"/>
      <c r="H170" s="21"/>
      <c r="I170" s="20"/>
      <c r="J170" s="19">
        <f t="shared" ref="J170:J176" si="74">C8+C17+C26+C35+C44+C53+C62+C71+C80+C89+C98+C107+C116+C125+C134+C143+C152+C161+C170</f>
        <v>5922339.8129648129</v>
      </c>
      <c r="K170" s="22"/>
      <c r="L170" s="19">
        <f t="shared" ref="L170:L176" si="75">E8+E17+E26+E35+E44+E53+E62+E71+E80+E89+E98+E107+E116+E125+E134+E143+E152+E161+E170</f>
        <v>1725000</v>
      </c>
      <c r="M170" s="22"/>
      <c r="N170" s="20"/>
    </row>
    <row r="171" spans="1:14" x14ac:dyDescent="0.25">
      <c r="A171" s="15"/>
      <c r="B171" s="6" t="str">
        <f t="shared" si="62"/>
        <v>M*</v>
      </c>
      <c r="C171" s="19">
        <f t="shared" si="73"/>
        <v>28124.999999999989</v>
      </c>
      <c r="D171" s="22"/>
      <c r="E171" s="19">
        <f>'Исходные данные'!$C$55*'Исходные данные'!$H$6</f>
        <v>45000</v>
      </c>
      <c r="F171" s="12">
        <f>(C9*D15+C18*D15+C27*D24+C36*D33+C45*D42+C54*D51+C63*D60+C72*D69+C81*D78+C90*D87+C99*D96+C108*D105+C117*D114+C126*D123+C135*D132+C144*D141+C153*D150)*'Исходные данные'!$F$6/12*3</f>
        <v>481704.54545454547</v>
      </c>
      <c r="G171" s="28"/>
      <c r="H171" s="21"/>
      <c r="I171" s="20"/>
      <c r="J171" s="19">
        <f t="shared" si="74"/>
        <v>3553403.887778888</v>
      </c>
      <c r="K171" s="22"/>
      <c r="L171" s="19">
        <f t="shared" si="75"/>
        <v>1035000</v>
      </c>
      <c r="M171" s="22"/>
      <c r="N171" s="20"/>
    </row>
    <row r="172" spans="1:14" x14ac:dyDescent="0.25">
      <c r="A172" s="15"/>
      <c r="B172" s="12" t="str">
        <f t="shared" si="62"/>
        <v>F</v>
      </c>
      <c r="C172" s="19">
        <f t="shared" si="73"/>
        <v>9374.9999999999964</v>
      </c>
      <c r="D172" s="22"/>
      <c r="E172" s="19">
        <f>'Исходные данные'!$C$55*'Исходные данные'!$H$7</f>
        <v>15000</v>
      </c>
      <c r="F172" s="12">
        <f>(C154*D150)*'Исходные данные'!$E$7/12*3</f>
        <v>7499.9999999999982</v>
      </c>
      <c r="G172" s="28"/>
      <c r="H172" s="21"/>
      <c r="I172" s="20"/>
      <c r="J172" s="19">
        <f t="shared" si="74"/>
        <v>1184467.9625929624</v>
      </c>
      <c r="K172" s="22"/>
      <c r="L172" s="19">
        <f t="shared" si="75"/>
        <v>345000</v>
      </c>
      <c r="M172" s="22"/>
      <c r="N172" s="20"/>
    </row>
    <row r="173" spans="1:14" x14ac:dyDescent="0.25">
      <c r="A173" s="15"/>
      <c r="B173" s="6" t="str">
        <f t="shared" si="62"/>
        <v>С*</v>
      </c>
      <c r="C173" s="19">
        <f t="shared" si="73"/>
        <v>9374.9999999999964</v>
      </c>
      <c r="D173" s="22"/>
      <c r="E173" s="19">
        <f>'Исходные данные'!$C$55*'Исходные данные'!$H$8</f>
        <v>15000</v>
      </c>
      <c r="F173" s="12">
        <f>(C11*D15+C20*D15+C29*D24+C38*D33+C47*D42+C56*D51+C65*D60+C74*D69+C83*D78+C92*D87+C101*D96+C110*D105+C119*D114+C128*D123+C137*D132+C146*D141+C155*D150)*'Исходные данные'!$E$8/12*3</f>
        <v>40142.045454545456</v>
      </c>
      <c r="G173" s="28"/>
      <c r="H173" s="21"/>
      <c r="I173" s="20"/>
      <c r="J173" s="19">
        <f t="shared" si="74"/>
        <v>1184467.9625929624</v>
      </c>
      <c r="K173" s="22"/>
      <c r="L173" s="19">
        <f t="shared" si="75"/>
        <v>345000</v>
      </c>
      <c r="M173" s="22"/>
      <c r="N173" s="20"/>
    </row>
    <row r="174" spans="1:14" x14ac:dyDescent="0.25">
      <c r="A174" s="15"/>
      <c r="B174" s="12" t="str">
        <f t="shared" si="62"/>
        <v xml:space="preserve">I </v>
      </c>
      <c r="C174" s="19">
        <f t="shared" si="73"/>
        <v>9374.9999999999964</v>
      </c>
      <c r="D174" s="22"/>
      <c r="E174" s="19">
        <f>'Исходные данные'!$C$55*'Исходные данные'!$H$9</f>
        <v>15000</v>
      </c>
      <c r="F174" s="12">
        <f>(C156*D150)*'Исходные данные'!$E$9/12*3</f>
        <v>0</v>
      </c>
      <c r="G174" s="28"/>
      <c r="H174" s="21"/>
      <c r="I174" s="20"/>
      <c r="J174" s="19">
        <f t="shared" si="74"/>
        <v>1184467.9625929624</v>
      </c>
      <c r="K174" s="22"/>
      <c r="L174" s="19">
        <f t="shared" si="75"/>
        <v>345000</v>
      </c>
      <c r="M174" s="22"/>
      <c r="N174" s="20"/>
    </row>
    <row r="175" spans="1:14" x14ac:dyDescent="0.25">
      <c r="A175" s="15"/>
      <c r="B175" s="6" t="str">
        <f t="shared" ref="B175:B176" si="76">B166</f>
        <v>R*</v>
      </c>
      <c r="C175" s="19">
        <f t="shared" si="73"/>
        <v>18749.999999999993</v>
      </c>
      <c r="D175" s="22"/>
      <c r="E175" s="19">
        <f>'Исходные данные'!$C$55*'Исходные данные'!$H$10</f>
        <v>30000</v>
      </c>
      <c r="F175" s="12">
        <f>(C13*D15+C22*D15+C31*D24+C40*D33+C49*D42+C58*D51+C67*D60+C76*D69+C85*D78+C94*D87+C103*D96+C112*D105+C121*D114+C130*D123+C139*D132+C148*D141+C157*D150)*'Исходные данные'!$E$10/12*3</f>
        <v>80284.090909090912</v>
      </c>
      <c r="G175" s="28"/>
      <c r="H175" s="21"/>
      <c r="I175" s="20"/>
      <c r="J175" s="19">
        <f t="shared" si="74"/>
        <v>2368935.9251859249</v>
      </c>
      <c r="K175" s="22"/>
      <c r="L175" s="19">
        <f t="shared" si="75"/>
        <v>690000</v>
      </c>
      <c r="M175" s="22"/>
      <c r="N175" s="20"/>
    </row>
    <row r="176" spans="1:14" x14ac:dyDescent="0.25">
      <c r="A176" s="15"/>
      <c r="B176" s="6" t="str">
        <f t="shared" si="76"/>
        <v>А*</v>
      </c>
      <c r="C176" s="19">
        <f t="shared" si="73"/>
        <v>9374.9999999999964</v>
      </c>
      <c r="D176" s="22"/>
      <c r="E176" s="19">
        <f>'Исходные данные'!$C$55*'Исходные данные'!$H$11</f>
        <v>15000</v>
      </c>
      <c r="F176" s="12">
        <f>(C14*D15+C23*D15+C32*D24+C41*D33+C50*D42+C59*D51+C68*D60+C77*D69+C86*D78+C95*D87+C104*D96+C113*D105+C122*D114+C131*D123+C140*D132+C149*D141+C158*D150)*'Исходные данные'!$G$11/12*3</f>
        <v>40142.045454545456</v>
      </c>
      <c r="G176" s="28"/>
      <c r="H176" s="21"/>
      <c r="I176" s="20"/>
      <c r="J176" s="19">
        <f t="shared" si="74"/>
        <v>1184467.9625929624</v>
      </c>
      <c r="K176" s="22"/>
      <c r="L176" s="19">
        <f t="shared" si="75"/>
        <v>345000</v>
      </c>
      <c r="M176" s="22"/>
      <c r="N176" s="20"/>
    </row>
    <row r="177" spans="13:13" x14ac:dyDescent="0.25">
      <c r="M177" s="10"/>
    </row>
    <row r="178" spans="13:13" x14ac:dyDescent="0.25">
      <c r="M178" s="10"/>
    </row>
    <row r="179" spans="13:13" x14ac:dyDescent="0.25">
      <c r="M179" s="10"/>
    </row>
    <row r="180" spans="13:13" x14ac:dyDescent="0.25">
      <c r="M180" s="10"/>
    </row>
    <row r="181" spans="13:13" x14ac:dyDescent="0.25">
      <c r="M181" s="10"/>
    </row>
    <row r="182" spans="13:13" x14ac:dyDescent="0.25">
      <c r="M182" s="10"/>
    </row>
    <row r="183" spans="13:13" x14ac:dyDescent="0.25">
      <c r="M183" s="10"/>
    </row>
    <row r="184" spans="13:13" x14ac:dyDescent="0.25">
      <c r="M184" s="10"/>
    </row>
    <row r="185" spans="13:13" x14ac:dyDescent="0.25">
      <c r="M185" s="10"/>
    </row>
    <row r="186" spans="13:13" x14ac:dyDescent="0.25">
      <c r="M186" s="10"/>
    </row>
    <row r="187" spans="13:13" x14ac:dyDescent="0.25">
      <c r="M187" s="10"/>
    </row>
    <row r="188" spans="13:13" x14ac:dyDescent="0.25">
      <c r="M188" s="10"/>
    </row>
    <row r="189" spans="13:13" x14ac:dyDescent="0.25">
      <c r="M189" s="10"/>
    </row>
    <row r="190" spans="13:13" x14ac:dyDescent="0.25">
      <c r="M190" s="10"/>
    </row>
    <row r="191" spans="13:13" x14ac:dyDescent="0.25">
      <c r="M191" s="10"/>
    </row>
    <row r="192" spans="13:13" x14ac:dyDescent="0.25">
      <c r="M192" s="10"/>
    </row>
    <row r="193" spans="13:13" x14ac:dyDescent="0.25">
      <c r="M193" s="10"/>
    </row>
    <row r="194" spans="13:13" x14ac:dyDescent="0.25">
      <c r="M194" s="10"/>
    </row>
    <row r="195" spans="13:13" x14ac:dyDescent="0.25">
      <c r="M195" s="10"/>
    </row>
    <row r="196" spans="13:13" x14ac:dyDescent="0.25">
      <c r="M196" s="10"/>
    </row>
    <row r="197" spans="13:13" x14ac:dyDescent="0.25">
      <c r="M197" s="10"/>
    </row>
    <row r="198" spans="13:13" x14ac:dyDescent="0.25">
      <c r="M198" s="10"/>
    </row>
    <row r="199" spans="13:13" x14ac:dyDescent="0.25">
      <c r="M199" s="10"/>
    </row>
    <row r="200" spans="13:13" x14ac:dyDescent="0.25">
      <c r="M200" s="10"/>
    </row>
    <row r="201" spans="13:13" x14ac:dyDescent="0.25">
      <c r="M201" s="10"/>
    </row>
    <row r="202" spans="13:13" x14ac:dyDescent="0.25">
      <c r="M202" s="10"/>
    </row>
    <row r="203" spans="13:13" x14ac:dyDescent="0.25">
      <c r="M203" s="10"/>
    </row>
    <row r="204" spans="13:13" x14ac:dyDescent="0.25">
      <c r="M204" s="10"/>
    </row>
    <row r="205" spans="13:13" x14ac:dyDescent="0.25">
      <c r="M205" s="10"/>
    </row>
    <row r="206" spans="13:13" x14ac:dyDescent="0.25">
      <c r="M206" s="10"/>
    </row>
    <row r="207" spans="13:13" x14ac:dyDescent="0.25">
      <c r="M207" s="10"/>
    </row>
    <row r="208" spans="13:13" x14ac:dyDescent="0.25">
      <c r="M208" s="10"/>
    </row>
    <row r="209" spans="13:13" x14ac:dyDescent="0.25">
      <c r="M209" s="10"/>
    </row>
    <row r="210" spans="13:13" x14ac:dyDescent="0.25">
      <c r="M210" s="10"/>
    </row>
    <row r="211" spans="13:13" x14ac:dyDescent="0.25">
      <c r="M211" s="10"/>
    </row>
    <row r="212" spans="13:13" x14ac:dyDescent="0.25">
      <c r="M212" s="10"/>
    </row>
    <row r="213" spans="13:13" x14ac:dyDescent="0.25">
      <c r="M213" s="10"/>
    </row>
    <row r="214" spans="13:13" x14ac:dyDescent="0.25">
      <c r="M214" s="10"/>
    </row>
    <row r="215" spans="13:13" x14ac:dyDescent="0.25">
      <c r="M215" s="10"/>
    </row>
    <row r="216" spans="13:13" x14ac:dyDescent="0.25">
      <c r="M216" s="10"/>
    </row>
    <row r="217" spans="13:13" x14ac:dyDescent="0.25">
      <c r="M217" s="10"/>
    </row>
    <row r="218" spans="13:13" x14ac:dyDescent="0.25">
      <c r="M218" s="10"/>
    </row>
    <row r="219" spans="13:13" x14ac:dyDescent="0.25">
      <c r="M219" s="10"/>
    </row>
    <row r="220" spans="13:13" x14ac:dyDescent="0.25">
      <c r="M220" s="10"/>
    </row>
    <row r="221" spans="13:13" x14ac:dyDescent="0.25">
      <c r="M221" s="10"/>
    </row>
    <row r="222" spans="13:13" x14ac:dyDescent="0.25">
      <c r="M222" s="10"/>
    </row>
    <row r="223" spans="13:13" x14ac:dyDescent="0.25">
      <c r="M223" s="10"/>
    </row>
    <row r="224" spans="13:13" x14ac:dyDescent="0.25">
      <c r="M224" s="10"/>
    </row>
    <row r="225" spans="13:13" x14ac:dyDescent="0.25">
      <c r="M225" s="10"/>
    </row>
    <row r="226" spans="13:13" x14ac:dyDescent="0.25">
      <c r="M226" s="10"/>
    </row>
    <row r="227" spans="13:13" x14ac:dyDescent="0.25">
      <c r="M227" s="10"/>
    </row>
    <row r="228" spans="13:13" x14ac:dyDescent="0.25">
      <c r="M228" s="10"/>
    </row>
    <row r="229" spans="13:13" x14ac:dyDescent="0.25">
      <c r="M229" s="10"/>
    </row>
    <row r="230" spans="13:13" x14ac:dyDescent="0.25">
      <c r="M230" s="10"/>
    </row>
    <row r="231" spans="13:13" x14ac:dyDescent="0.25">
      <c r="M231" s="10"/>
    </row>
    <row r="232" spans="13:13" x14ac:dyDescent="0.25">
      <c r="M232" s="10"/>
    </row>
    <row r="233" spans="13:13" x14ac:dyDescent="0.25">
      <c r="M233" s="10"/>
    </row>
    <row r="234" spans="13:13" x14ac:dyDescent="0.25">
      <c r="M234" s="10"/>
    </row>
    <row r="235" spans="13:13" x14ac:dyDescent="0.25">
      <c r="M235" s="10"/>
    </row>
    <row r="236" spans="13:13" x14ac:dyDescent="0.25">
      <c r="M236" s="10"/>
    </row>
  </sheetData>
  <sheetProtection algorithmName="SHA-512" hashValue="ofDQ4rOgdLRZL0kMbe2e1cC3uvisc6aZ74KJrhL7kaRBilE/HSpARwHQtyNvlC3qcB4DAdPf2OTimZt5kpXEuA==" saltValue="NdbmeH1RNmy4Firz8xfqbQ==" spinCount="100000" sheet="1" objects="1" scenarios="1"/>
  <mergeCells count="144">
    <mergeCell ref="M42:M50"/>
    <mergeCell ref="M51:M59"/>
    <mergeCell ref="M60:M68"/>
    <mergeCell ref="M6:M14"/>
    <mergeCell ref="M15:M23"/>
    <mergeCell ref="N159:N167"/>
    <mergeCell ref="G168:G176"/>
    <mergeCell ref="H168:H176"/>
    <mergeCell ref="I168:I176"/>
    <mergeCell ref="K168:K176"/>
    <mergeCell ref="N168:N176"/>
    <mergeCell ref="M159:M167"/>
    <mergeCell ref="M168:M176"/>
    <mergeCell ref="G159:G167"/>
    <mergeCell ref="H159:H167"/>
    <mergeCell ref="I159:I167"/>
    <mergeCell ref="K159:K167"/>
    <mergeCell ref="I141:I149"/>
    <mergeCell ref="K141:K149"/>
    <mergeCell ref="N141:N149"/>
    <mergeCell ref="G150:G158"/>
    <mergeCell ref="H150:H158"/>
    <mergeCell ref="I150:I158"/>
    <mergeCell ref="K150:K158"/>
    <mergeCell ref="N150:N158"/>
    <mergeCell ref="M141:M149"/>
    <mergeCell ref="M150:M158"/>
    <mergeCell ref="K123:K131"/>
    <mergeCell ref="N123:N131"/>
    <mergeCell ref="G132:G140"/>
    <mergeCell ref="H132:H140"/>
    <mergeCell ref="I132:I140"/>
    <mergeCell ref="K132:K140"/>
    <mergeCell ref="N132:N140"/>
    <mergeCell ref="M123:M131"/>
    <mergeCell ref="M132:M140"/>
    <mergeCell ref="K105:K113"/>
    <mergeCell ref="N105:N113"/>
    <mergeCell ref="G114:G122"/>
    <mergeCell ref="H114:H122"/>
    <mergeCell ref="I114:I122"/>
    <mergeCell ref="K114:K122"/>
    <mergeCell ref="N114:N122"/>
    <mergeCell ref="M105:M113"/>
    <mergeCell ref="M114:M122"/>
    <mergeCell ref="M78:M86"/>
    <mergeCell ref="K87:K95"/>
    <mergeCell ref="N87:N95"/>
    <mergeCell ref="G96:G104"/>
    <mergeCell ref="H96:H104"/>
    <mergeCell ref="I96:I104"/>
    <mergeCell ref="K96:K104"/>
    <mergeCell ref="N96:N104"/>
    <mergeCell ref="M87:M95"/>
    <mergeCell ref="M96:M104"/>
    <mergeCell ref="D159:D167"/>
    <mergeCell ref="D168:D176"/>
    <mergeCell ref="G69:G77"/>
    <mergeCell ref="H69:H77"/>
    <mergeCell ref="I69:I77"/>
    <mergeCell ref="G87:G95"/>
    <mergeCell ref="H87:H95"/>
    <mergeCell ref="I87:I95"/>
    <mergeCell ref="G105:G113"/>
    <mergeCell ref="H105:H113"/>
    <mergeCell ref="I105:I113"/>
    <mergeCell ref="G123:G131"/>
    <mergeCell ref="H123:H131"/>
    <mergeCell ref="I123:I131"/>
    <mergeCell ref="G141:G149"/>
    <mergeCell ref="H141:H149"/>
    <mergeCell ref="D114:D122"/>
    <mergeCell ref="D123:D131"/>
    <mergeCell ref="D132:D140"/>
    <mergeCell ref="D141:D149"/>
    <mergeCell ref="D150:D158"/>
    <mergeCell ref="D69:D77"/>
    <mergeCell ref="D78:D86"/>
    <mergeCell ref="D87:D95"/>
    <mergeCell ref="D96:D104"/>
    <mergeCell ref="D105:D113"/>
    <mergeCell ref="N51:N59"/>
    <mergeCell ref="H42:H50"/>
    <mergeCell ref="H51:H59"/>
    <mergeCell ref="D60:D68"/>
    <mergeCell ref="G60:G68"/>
    <mergeCell ref="H60:H68"/>
    <mergeCell ref="I60:I68"/>
    <mergeCell ref="K60:K68"/>
    <mergeCell ref="N60:N68"/>
    <mergeCell ref="D51:D59"/>
    <mergeCell ref="G51:G59"/>
    <mergeCell ref="I51:I59"/>
    <mergeCell ref="K51:K59"/>
    <mergeCell ref="N42:N50"/>
    <mergeCell ref="K69:K77"/>
    <mergeCell ref="N69:N77"/>
    <mergeCell ref="G78:G86"/>
    <mergeCell ref="H78:H86"/>
    <mergeCell ref="I78:I86"/>
    <mergeCell ref="K78:K86"/>
    <mergeCell ref="N78:N86"/>
    <mergeCell ref="M69:M77"/>
    <mergeCell ref="J2:N2"/>
    <mergeCell ref="J3:L3"/>
    <mergeCell ref="A2:A4"/>
    <mergeCell ref="B2:B4"/>
    <mergeCell ref="C2:I2"/>
    <mergeCell ref="I3:I4"/>
    <mergeCell ref="H3:H4"/>
    <mergeCell ref="M3:M4"/>
    <mergeCell ref="N3:N4"/>
    <mergeCell ref="C3:E3"/>
    <mergeCell ref="F3:G3"/>
    <mergeCell ref="D42:D50"/>
    <mergeCell ref="G42:G50"/>
    <mergeCell ref="I42:I50"/>
    <mergeCell ref="K42:K50"/>
    <mergeCell ref="K15:K23"/>
    <mergeCell ref="D15:D23"/>
    <mergeCell ref="G15:G23"/>
    <mergeCell ref="I15:I23"/>
    <mergeCell ref="H6:H14"/>
    <mergeCell ref="H15:H23"/>
    <mergeCell ref="D6:D14"/>
    <mergeCell ref="D24:D32"/>
    <mergeCell ref="G24:G32"/>
    <mergeCell ref="I24:I32"/>
    <mergeCell ref="K24:K32"/>
    <mergeCell ref="H24:H32"/>
    <mergeCell ref="D33:D41"/>
    <mergeCell ref="G33:G41"/>
    <mergeCell ref="I33:I41"/>
    <mergeCell ref="K33:K41"/>
    <mergeCell ref="H33:H41"/>
    <mergeCell ref="N15:N23"/>
    <mergeCell ref="N6:N14"/>
    <mergeCell ref="N24:N32"/>
    <mergeCell ref="N33:N41"/>
    <mergeCell ref="K6:K14"/>
    <mergeCell ref="M24:M32"/>
    <mergeCell ref="M33:M41"/>
    <mergeCell ref="G6:G14"/>
    <mergeCell ref="I6:I14"/>
  </mergeCells>
  <pageMargins left="0.23622047244094491" right="0.23622047244094491" top="0.74803149606299213" bottom="0.74803149606299213" header="0" footer="0"/>
  <pageSetup paperSize="9" scale="80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Исходные данные</vt:lpstr>
      <vt:lpstr>Финмодель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2022-06-10T14:00:00Z</dcterms:modified>
</cp:coreProperties>
</file>