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Исходные данные" sheetId="4" r:id="rId1"/>
    <sheet name="Финмодель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5" l="1"/>
  <c r="H51" i="5"/>
  <c r="H42" i="5"/>
  <c r="H33" i="5"/>
  <c r="G33" i="5"/>
  <c r="F35" i="5"/>
  <c r="F34" i="5"/>
  <c r="D15" i="5"/>
  <c r="K52" i="4" l="1"/>
  <c r="AO52" i="4" s="1"/>
  <c r="D23" i="4"/>
  <c r="C23" i="4" s="1"/>
  <c r="L52" i="4" l="1"/>
  <c r="AP52" i="4" s="1"/>
  <c r="D24" i="4"/>
  <c r="F23" i="4"/>
  <c r="D25" i="4" l="1"/>
  <c r="D26" i="4" s="1"/>
  <c r="M52" i="4"/>
  <c r="AQ52" i="4" s="1"/>
  <c r="F24" i="4"/>
  <c r="C24" i="4"/>
  <c r="E176" i="5"/>
  <c r="E175" i="5"/>
  <c r="E174" i="5"/>
  <c r="E173" i="5"/>
  <c r="E172" i="5"/>
  <c r="E171" i="5"/>
  <c r="E170" i="5"/>
  <c r="E169" i="5"/>
  <c r="E167" i="5"/>
  <c r="E166" i="5"/>
  <c r="E165" i="5"/>
  <c r="E164" i="5"/>
  <c r="E163" i="5"/>
  <c r="E162" i="5"/>
  <c r="E161" i="5"/>
  <c r="E160" i="5"/>
  <c r="E158" i="5"/>
  <c r="E157" i="5"/>
  <c r="E156" i="5"/>
  <c r="E155" i="5"/>
  <c r="E154" i="5"/>
  <c r="E153" i="5"/>
  <c r="E152" i="5"/>
  <c r="E151" i="5"/>
  <c r="E149" i="5"/>
  <c r="E148" i="5"/>
  <c r="E147" i="5"/>
  <c r="E146" i="5"/>
  <c r="E145" i="5"/>
  <c r="E144" i="5"/>
  <c r="E143" i="5"/>
  <c r="E142" i="5"/>
  <c r="E140" i="5"/>
  <c r="E139" i="5"/>
  <c r="E138" i="5"/>
  <c r="E137" i="5"/>
  <c r="E136" i="5"/>
  <c r="E135" i="5"/>
  <c r="E134" i="5"/>
  <c r="E133" i="5"/>
  <c r="E131" i="5"/>
  <c r="E130" i="5"/>
  <c r="E129" i="5"/>
  <c r="E128" i="5"/>
  <c r="E127" i="5"/>
  <c r="E126" i="5"/>
  <c r="E125" i="5"/>
  <c r="E124" i="5"/>
  <c r="E122" i="5"/>
  <c r="E121" i="5"/>
  <c r="E120" i="5"/>
  <c r="E119" i="5"/>
  <c r="E118" i="5"/>
  <c r="E117" i="5"/>
  <c r="E116" i="5"/>
  <c r="E115" i="5"/>
  <c r="E113" i="5"/>
  <c r="E112" i="5"/>
  <c r="E111" i="5"/>
  <c r="E110" i="5"/>
  <c r="E109" i="5"/>
  <c r="E108" i="5"/>
  <c r="E107" i="5"/>
  <c r="E106" i="5"/>
  <c r="E104" i="5"/>
  <c r="E103" i="5"/>
  <c r="E102" i="5"/>
  <c r="E101" i="5"/>
  <c r="E100" i="5"/>
  <c r="E99" i="5"/>
  <c r="E98" i="5"/>
  <c r="E97" i="5"/>
  <c r="E95" i="5"/>
  <c r="E94" i="5"/>
  <c r="E93" i="5"/>
  <c r="E92" i="5"/>
  <c r="E91" i="5"/>
  <c r="E90" i="5"/>
  <c r="E89" i="5"/>
  <c r="E88" i="5"/>
  <c r="E86" i="5"/>
  <c r="E85" i="5"/>
  <c r="E84" i="5"/>
  <c r="E83" i="5"/>
  <c r="E82" i="5"/>
  <c r="E81" i="5"/>
  <c r="E80" i="5"/>
  <c r="E79" i="5"/>
  <c r="E77" i="5"/>
  <c r="E76" i="5"/>
  <c r="E75" i="5"/>
  <c r="E74" i="5"/>
  <c r="E73" i="5"/>
  <c r="E72" i="5"/>
  <c r="E71" i="5"/>
  <c r="E70" i="5"/>
  <c r="F25" i="4" l="1"/>
  <c r="F26" i="4"/>
  <c r="O52" i="4"/>
  <c r="AS52" i="4" s="1"/>
  <c r="C25" i="4"/>
  <c r="N52" i="4"/>
  <c r="AR52" i="4" s="1"/>
  <c r="D27" i="4"/>
  <c r="C26" i="4"/>
  <c r="F27" i="4"/>
  <c r="E168" i="5"/>
  <c r="E159" i="5"/>
  <c r="E150" i="5"/>
  <c r="E141" i="5"/>
  <c r="E132" i="5"/>
  <c r="E123" i="5"/>
  <c r="E114" i="5"/>
  <c r="E105" i="5"/>
  <c r="E96" i="5"/>
  <c r="E87" i="5"/>
  <c r="E78" i="5"/>
  <c r="E69" i="5"/>
  <c r="D28" i="4" l="1"/>
  <c r="Q52" i="4" s="1"/>
  <c r="AU52" i="4" s="1"/>
  <c r="P52" i="4"/>
  <c r="AT52" i="4" s="1"/>
  <c r="C27" i="4"/>
  <c r="C28" i="4"/>
  <c r="E68" i="5"/>
  <c r="E67" i="5"/>
  <c r="E66" i="5"/>
  <c r="E65" i="5"/>
  <c r="E64" i="5"/>
  <c r="E63" i="5"/>
  <c r="E62" i="5"/>
  <c r="E61" i="5"/>
  <c r="E43" i="5"/>
  <c r="D29" i="4" l="1"/>
  <c r="R52" i="4" s="1"/>
  <c r="AV52" i="4" s="1"/>
  <c r="F28" i="4"/>
  <c r="C29" i="4"/>
  <c r="D30" i="4"/>
  <c r="S52" i="4" s="1"/>
  <c r="F29" i="4"/>
  <c r="E60" i="5"/>
  <c r="E50" i="5"/>
  <c r="E49" i="5"/>
  <c r="E48" i="5"/>
  <c r="E47" i="5"/>
  <c r="E46" i="5"/>
  <c r="E45" i="5"/>
  <c r="E44" i="5"/>
  <c r="E7" i="5"/>
  <c r="AW52" i="4" l="1"/>
  <c r="D31" i="4"/>
  <c r="T52" i="4" s="1"/>
  <c r="AX52" i="4" s="1"/>
  <c r="C30" i="4"/>
  <c r="F30" i="4"/>
  <c r="E42" i="5"/>
  <c r="E41" i="5"/>
  <c r="E40" i="5"/>
  <c r="E39" i="5"/>
  <c r="E38" i="5"/>
  <c r="E37" i="5"/>
  <c r="E36" i="5"/>
  <c r="E35" i="5"/>
  <c r="E34" i="5"/>
  <c r="E32" i="5"/>
  <c r="E31" i="5"/>
  <c r="E30" i="5"/>
  <c r="E29" i="5"/>
  <c r="E28" i="5"/>
  <c r="E27" i="5"/>
  <c r="E26" i="5"/>
  <c r="E25" i="5"/>
  <c r="C72" i="4"/>
  <c r="D54" i="4"/>
  <c r="F22" i="4"/>
  <c r="F21" i="4"/>
  <c r="E20" i="4"/>
  <c r="E21" i="4"/>
  <c r="E22" i="4"/>
  <c r="J52" i="4"/>
  <c r="AN52" i="4" s="1"/>
  <c r="I52" i="4"/>
  <c r="AM52" i="4" s="1"/>
  <c r="H52" i="4"/>
  <c r="AL52" i="4" s="1"/>
  <c r="G52" i="4"/>
  <c r="AK52" i="4" s="1"/>
  <c r="F52" i="4"/>
  <c r="AJ52" i="4" s="1"/>
  <c r="F19" i="4"/>
  <c r="F16" i="4"/>
  <c r="D53" i="4" s="1"/>
  <c r="F18" i="4"/>
  <c r="F20" i="4"/>
  <c r="F17" i="4"/>
  <c r="C31" i="4" l="1"/>
  <c r="F31" i="4"/>
  <c r="D32" i="4"/>
  <c r="U52" i="4" s="1"/>
  <c r="AY52" i="4" s="1"/>
  <c r="E57" i="5"/>
  <c r="E53" i="5"/>
  <c r="E54" i="5"/>
  <c r="E52" i="5"/>
  <c r="E56" i="5"/>
  <c r="E58" i="5"/>
  <c r="E59" i="5"/>
  <c r="E55" i="5"/>
  <c r="E33" i="5"/>
  <c r="E24" i="5"/>
  <c r="E23" i="5"/>
  <c r="E22" i="5"/>
  <c r="E21" i="5"/>
  <c r="E20" i="5"/>
  <c r="E19" i="5"/>
  <c r="E18" i="5"/>
  <c r="E17" i="5"/>
  <c r="E16" i="5"/>
  <c r="E8" i="5"/>
  <c r="E9" i="5"/>
  <c r="E10" i="5"/>
  <c r="E11" i="5"/>
  <c r="E12" i="5"/>
  <c r="E13" i="5"/>
  <c r="E14" i="5"/>
  <c r="D6" i="5"/>
  <c r="K6" i="5" s="1"/>
  <c r="D33" i="4" l="1"/>
  <c r="V52" i="4" s="1"/>
  <c r="AZ52" i="4" s="1"/>
  <c r="F32" i="4"/>
  <c r="C32" i="4"/>
  <c r="E51" i="5"/>
  <c r="L167" i="5"/>
  <c r="L158" i="5"/>
  <c r="L68" i="5"/>
  <c r="L131" i="5"/>
  <c r="L122" i="5"/>
  <c r="L113" i="5"/>
  <c r="L104" i="5"/>
  <c r="L95" i="5"/>
  <c r="L86" i="5"/>
  <c r="L176" i="5"/>
  <c r="L77" i="5"/>
  <c r="L41" i="5"/>
  <c r="L149" i="5"/>
  <c r="L140" i="5"/>
  <c r="L50" i="5"/>
  <c r="L59" i="5"/>
  <c r="L23" i="5"/>
  <c r="L130" i="5"/>
  <c r="L121" i="5"/>
  <c r="L112" i="5"/>
  <c r="L103" i="5"/>
  <c r="L94" i="5"/>
  <c r="L85" i="5"/>
  <c r="L175" i="5"/>
  <c r="L148" i="5"/>
  <c r="L139" i="5"/>
  <c r="L76" i="5"/>
  <c r="L67" i="5"/>
  <c r="L40" i="5"/>
  <c r="L58" i="5"/>
  <c r="L49" i="5"/>
  <c r="L22" i="5"/>
  <c r="L31" i="5"/>
  <c r="L166" i="5"/>
  <c r="L157" i="5"/>
  <c r="L126" i="5"/>
  <c r="L117" i="5"/>
  <c r="L108" i="5"/>
  <c r="L99" i="5"/>
  <c r="L90" i="5"/>
  <c r="L81" i="5"/>
  <c r="L171" i="5"/>
  <c r="L144" i="5"/>
  <c r="L135" i="5"/>
  <c r="L72" i="5"/>
  <c r="L63" i="5"/>
  <c r="L36" i="5"/>
  <c r="L54" i="5"/>
  <c r="L45" i="5"/>
  <c r="L18" i="5"/>
  <c r="L162" i="5"/>
  <c r="L153" i="5"/>
  <c r="L170" i="5"/>
  <c r="L143" i="5"/>
  <c r="L134" i="5"/>
  <c r="L71" i="5"/>
  <c r="L35" i="5"/>
  <c r="L53" i="5"/>
  <c r="L44" i="5"/>
  <c r="L17" i="5"/>
  <c r="L161" i="5"/>
  <c r="L152" i="5"/>
  <c r="L62" i="5"/>
  <c r="L125" i="5"/>
  <c r="L116" i="5"/>
  <c r="L107" i="5"/>
  <c r="L98" i="5"/>
  <c r="L89" i="5"/>
  <c r="L80" i="5"/>
  <c r="L163" i="5"/>
  <c r="L154" i="5"/>
  <c r="L64" i="5"/>
  <c r="L127" i="5"/>
  <c r="L118" i="5"/>
  <c r="L109" i="5"/>
  <c r="L100" i="5"/>
  <c r="L91" i="5"/>
  <c r="L82" i="5"/>
  <c r="L172" i="5"/>
  <c r="L145" i="5"/>
  <c r="L136" i="5"/>
  <c r="L73" i="5"/>
  <c r="L37" i="5"/>
  <c r="L55" i="5"/>
  <c r="L19" i="5"/>
  <c r="L46" i="5"/>
  <c r="L174" i="5"/>
  <c r="L147" i="5"/>
  <c r="L138" i="5"/>
  <c r="L75" i="5"/>
  <c r="L39" i="5"/>
  <c r="L57" i="5"/>
  <c r="L48" i="5"/>
  <c r="L21" i="5"/>
  <c r="L165" i="5"/>
  <c r="L156" i="5"/>
  <c r="L66" i="5"/>
  <c r="L129" i="5"/>
  <c r="L120" i="5"/>
  <c r="L111" i="5"/>
  <c r="L102" i="5"/>
  <c r="L93" i="5"/>
  <c r="L84" i="5"/>
  <c r="L56" i="5"/>
  <c r="L47" i="5"/>
  <c r="L20" i="5"/>
  <c r="L164" i="5"/>
  <c r="L155" i="5"/>
  <c r="L128" i="5"/>
  <c r="L119" i="5"/>
  <c r="L110" i="5"/>
  <c r="L101" i="5"/>
  <c r="L92" i="5"/>
  <c r="L83" i="5"/>
  <c r="L173" i="5"/>
  <c r="L146" i="5"/>
  <c r="L137" i="5"/>
  <c r="L74" i="5"/>
  <c r="L65" i="5"/>
  <c r="L38" i="5"/>
  <c r="L160" i="5"/>
  <c r="L16" i="5"/>
  <c r="L124" i="5"/>
  <c r="L88" i="5"/>
  <c r="L61" i="5"/>
  <c r="L97" i="5"/>
  <c r="L43" i="5"/>
  <c r="L151" i="5"/>
  <c r="L115" i="5"/>
  <c r="L79" i="5"/>
  <c r="L52" i="5"/>
  <c r="L34" i="5"/>
  <c r="L142" i="5"/>
  <c r="L106" i="5"/>
  <c r="L70" i="5"/>
  <c r="L25" i="5"/>
  <c r="L133" i="5"/>
  <c r="L169" i="5"/>
  <c r="C7" i="5"/>
  <c r="L29" i="5"/>
  <c r="L27" i="5"/>
  <c r="L32" i="5"/>
  <c r="L28" i="5"/>
  <c r="L30" i="5"/>
  <c r="L26" i="5"/>
  <c r="L7" i="5"/>
  <c r="L14" i="5"/>
  <c r="L10" i="5"/>
  <c r="L13" i="5"/>
  <c r="L9" i="5"/>
  <c r="L11" i="5"/>
  <c r="L12" i="5"/>
  <c r="L8" i="5"/>
  <c r="C14" i="5"/>
  <c r="C10" i="5"/>
  <c r="C12" i="5"/>
  <c r="C13" i="5"/>
  <c r="C9" i="5"/>
  <c r="C8" i="5"/>
  <c r="C11" i="5"/>
  <c r="B15" i="5"/>
  <c r="B24" i="5" s="1"/>
  <c r="B33" i="5" s="1"/>
  <c r="B42" i="5" s="1"/>
  <c r="B51" i="5" s="1"/>
  <c r="B60" i="5" s="1"/>
  <c r="B69" i="5" s="1"/>
  <c r="B78" i="5" s="1"/>
  <c r="B87" i="5" s="1"/>
  <c r="B96" i="5" s="1"/>
  <c r="B105" i="5" s="1"/>
  <c r="B114" i="5" s="1"/>
  <c r="B123" i="5" s="1"/>
  <c r="B132" i="5" s="1"/>
  <c r="B141" i="5" s="1"/>
  <c r="B150" i="5" s="1"/>
  <c r="B159" i="5" s="1"/>
  <c r="B168" i="5" s="1"/>
  <c r="B8" i="5"/>
  <c r="B17" i="5" s="1"/>
  <c r="B26" i="5" s="1"/>
  <c r="B35" i="5" s="1"/>
  <c r="B44" i="5" s="1"/>
  <c r="B53" i="5" s="1"/>
  <c r="B62" i="5" s="1"/>
  <c r="B71" i="5" s="1"/>
  <c r="B80" i="5" s="1"/>
  <c r="B89" i="5" s="1"/>
  <c r="B98" i="5" s="1"/>
  <c r="B107" i="5" s="1"/>
  <c r="B116" i="5" s="1"/>
  <c r="B125" i="5" s="1"/>
  <c r="B134" i="5" s="1"/>
  <c r="B143" i="5" s="1"/>
  <c r="B152" i="5" s="1"/>
  <c r="B161" i="5" s="1"/>
  <c r="B170" i="5" s="1"/>
  <c r="B14" i="5"/>
  <c r="B23" i="5" s="1"/>
  <c r="B32" i="5" s="1"/>
  <c r="B41" i="5" s="1"/>
  <c r="B50" i="5" s="1"/>
  <c r="B59" i="5" s="1"/>
  <c r="B68" i="5" s="1"/>
  <c r="B77" i="5" s="1"/>
  <c r="B86" i="5" s="1"/>
  <c r="B95" i="5" s="1"/>
  <c r="B104" i="5" s="1"/>
  <c r="B113" i="5" s="1"/>
  <c r="B122" i="5" s="1"/>
  <c r="B131" i="5" s="1"/>
  <c r="B140" i="5" s="1"/>
  <c r="B149" i="5" s="1"/>
  <c r="B158" i="5" s="1"/>
  <c r="B167" i="5" s="1"/>
  <c r="B176" i="5" s="1"/>
  <c r="B13" i="5"/>
  <c r="B22" i="5" s="1"/>
  <c r="B31" i="5" s="1"/>
  <c r="B40" i="5" s="1"/>
  <c r="B49" i="5" s="1"/>
  <c r="B58" i="5" s="1"/>
  <c r="B67" i="5" s="1"/>
  <c r="B76" i="5" s="1"/>
  <c r="B85" i="5" s="1"/>
  <c r="B94" i="5" s="1"/>
  <c r="B103" i="5" s="1"/>
  <c r="B112" i="5" s="1"/>
  <c r="B121" i="5" s="1"/>
  <c r="B130" i="5" s="1"/>
  <c r="B139" i="5" s="1"/>
  <c r="B148" i="5" s="1"/>
  <c r="B157" i="5" s="1"/>
  <c r="B166" i="5" s="1"/>
  <c r="B175" i="5" s="1"/>
  <c r="B9" i="5"/>
  <c r="B18" i="5" s="1"/>
  <c r="B27" i="5" s="1"/>
  <c r="B36" i="5" s="1"/>
  <c r="B45" i="5" s="1"/>
  <c r="B54" i="5" s="1"/>
  <c r="B63" i="5" s="1"/>
  <c r="B72" i="5" s="1"/>
  <c r="B81" i="5" s="1"/>
  <c r="B90" i="5" s="1"/>
  <c r="B99" i="5" s="1"/>
  <c r="B108" i="5" s="1"/>
  <c r="B117" i="5" s="1"/>
  <c r="B126" i="5" s="1"/>
  <c r="B135" i="5" s="1"/>
  <c r="B144" i="5" s="1"/>
  <c r="B153" i="5" s="1"/>
  <c r="B162" i="5" s="1"/>
  <c r="B171" i="5" s="1"/>
  <c r="B10" i="5"/>
  <c r="B19" i="5" s="1"/>
  <c r="B28" i="5" s="1"/>
  <c r="B37" i="5" s="1"/>
  <c r="B46" i="5" s="1"/>
  <c r="B55" i="5" s="1"/>
  <c r="B64" i="5" s="1"/>
  <c r="B73" i="5" s="1"/>
  <c r="B82" i="5" s="1"/>
  <c r="B91" i="5" s="1"/>
  <c r="B100" i="5" s="1"/>
  <c r="B109" i="5" s="1"/>
  <c r="B118" i="5" s="1"/>
  <c r="B127" i="5" s="1"/>
  <c r="B136" i="5" s="1"/>
  <c r="B145" i="5" s="1"/>
  <c r="B154" i="5" s="1"/>
  <c r="B163" i="5" s="1"/>
  <c r="B172" i="5" s="1"/>
  <c r="B11" i="5"/>
  <c r="B20" i="5" s="1"/>
  <c r="B29" i="5" s="1"/>
  <c r="B38" i="5" s="1"/>
  <c r="B47" i="5" s="1"/>
  <c r="B56" i="5" s="1"/>
  <c r="B65" i="5" s="1"/>
  <c r="B74" i="5" s="1"/>
  <c r="B83" i="5" s="1"/>
  <c r="B92" i="5" s="1"/>
  <c r="B101" i="5" s="1"/>
  <c r="B110" i="5" s="1"/>
  <c r="B119" i="5" s="1"/>
  <c r="B128" i="5" s="1"/>
  <c r="B137" i="5" s="1"/>
  <c r="B146" i="5" s="1"/>
  <c r="B155" i="5" s="1"/>
  <c r="B164" i="5" s="1"/>
  <c r="B173" i="5" s="1"/>
  <c r="B12" i="5"/>
  <c r="B21" i="5" s="1"/>
  <c r="B30" i="5" s="1"/>
  <c r="B39" i="5" s="1"/>
  <c r="B48" i="5" s="1"/>
  <c r="B57" i="5" s="1"/>
  <c r="B66" i="5" s="1"/>
  <c r="B75" i="5" s="1"/>
  <c r="B84" i="5" s="1"/>
  <c r="B93" i="5" s="1"/>
  <c r="B102" i="5" s="1"/>
  <c r="B111" i="5" s="1"/>
  <c r="B120" i="5" s="1"/>
  <c r="B129" i="5" s="1"/>
  <c r="B138" i="5" s="1"/>
  <c r="B147" i="5" s="1"/>
  <c r="B156" i="5" s="1"/>
  <c r="B165" i="5" s="1"/>
  <c r="B174" i="5" s="1"/>
  <c r="B7" i="5"/>
  <c r="B16" i="5" s="1"/>
  <c r="B25" i="5" s="1"/>
  <c r="B34" i="5" s="1"/>
  <c r="B43" i="5" s="1"/>
  <c r="B52" i="5" s="1"/>
  <c r="B61" i="5" s="1"/>
  <c r="B70" i="5" s="1"/>
  <c r="B79" i="5" s="1"/>
  <c r="B88" i="5" s="1"/>
  <c r="B97" i="5" s="1"/>
  <c r="B106" i="5" s="1"/>
  <c r="B115" i="5" s="1"/>
  <c r="B124" i="5" s="1"/>
  <c r="B133" i="5" s="1"/>
  <c r="B142" i="5" s="1"/>
  <c r="B151" i="5" s="1"/>
  <c r="B160" i="5" s="1"/>
  <c r="B169" i="5" s="1"/>
  <c r="E19" i="4"/>
  <c r="E18" i="4"/>
  <c r="E17" i="4"/>
  <c r="H12" i="4"/>
  <c r="E47" i="4" l="1"/>
  <c r="F53" i="4"/>
  <c r="F33" i="4"/>
  <c r="C33" i="4"/>
  <c r="D34" i="4"/>
  <c r="W52" i="4" s="1"/>
  <c r="BA52" i="4" s="1"/>
  <c r="L42" i="5"/>
  <c r="L150" i="5"/>
  <c r="L87" i="5"/>
  <c r="L78" i="5"/>
  <c r="L159" i="5"/>
  <c r="L69" i="5"/>
  <c r="L51" i="5"/>
  <c r="L123" i="5"/>
  <c r="L168" i="5"/>
  <c r="L105" i="5"/>
  <c r="L96" i="5"/>
  <c r="L15" i="5"/>
  <c r="L132" i="5"/>
  <c r="L141" i="5"/>
  <c r="L114" i="5"/>
  <c r="L60" i="5"/>
  <c r="L33" i="5"/>
  <c r="J7" i="5"/>
  <c r="L24" i="5"/>
  <c r="J8" i="5"/>
  <c r="J10" i="5"/>
  <c r="J9" i="5"/>
  <c r="J14" i="5"/>
  <c r="J13" i="5"/>
  <c r="J12" i="5"/>
  <c r="D55" i="4"/>
  <c r="C6" i="5"/>
  <c r="J11" i="5"/>
  <c r="AJ53" i="4" l="1"/>
  <c r="F54" i="4" s="1"/>
  <c r="C34" i="4"/>
  <c r="F34" i="4"/>
  <c r="D35" i="4"/>
  <c r="X52" i="4" s="1"/>
  <c r="BB52" i="4" s="1"/>
  <c r="J6" i="5"/>
  <c r="M6" i="5" s="1"/>
  <c r="N6" i="5" s="1"/>
  <c r="G53" i="4"/>
  <c r="D56" i="4"/>
  <c r="E6" i="5"/>
  <c r="L6" i="5"/>
  <c r="C35" i="4" l="1"/>
  <c r="D36" i="4"/>
  <c r="Y52" i="4" s="1"/>
  <c r="BC52" i="4" s="1"/>
  <c r="F35" i="4"/>
  <c r="AJ54" i="4"/>
  <c r="F55" i="4" s="1"/>
  <c r="AK53" i="4"/>
  <c r="G54" i="4" s="1"/>
  <c r="H53" i="4"/>
  <c r="D57" i="4"/>
  <c r="E15" i="5"/>
  <c r="F36" i="4" l="1"/>
  <c r="D37" i="4"/>
  <c r="Z52" i="4" s="1"/>
  <c r="BD52" i="4" s="1"/>
  <c r="C36" i="4"/>
  <c r="AJ55" i="4"/>
  <c r="F56" i="4" s="1"/>
  <c r="I53" i="4"/>
  <c r="AL53" i="4"/>
  <c r="H54" i="4" s="1"/>
  <c r="AK54" i="4"/>
  <c r="D58" i="4"/>
  <c r="D38" i="4" l="1"/>
  <c r="AA52" i="4" s="1"/>
  <c r="BE52" i="4" s="1"/>
  <c r="F37" i="4"/>
  <c r="C37" i="4"/>
  <c r="J53" i="4"/>
  <c r="AJ56" i="4"/>
  <c r="F57" i="4" s="1"/>
  <c r="AM53" i="4"/>
  <c r="I54" i="4" s="1"/>
  <c r="AL54" i="4"/>
  <c r="G55" i="4"/>
  <c r="D59" i="4"/>
  <c r="AM54" i="4" l="1"/>
  <c r="F38" i="4"/>
  <c r="D39" i="4"/>
  <c r="AB52" i="4" s="1"/>
  <c r="BF52" i="4" s="1"/>
  <c r="C38" i="4"/>
  <c r="AN53" i="4"/>
  <c r="AJ57" i="4"/>
  <c r="F58" i="4" s="1"/>
  <c r="K53" i="4"/>
  <c r="AK55" i="4"/>
  <c r="J54" i="4"/>
  <c r="H55" i="4"/>
  <c r="I55" i="4" s="1"/>
  <c r="D60" i="4"/>
  <c r="AJ58" i="4" l="1"/>
  <c r="F59" i="4" s="1"/>
  <c r="D40" i="4"/>
  <c r="AC52" i="4" s="1"/>
  <c r="BG52" i="4" s="1"/>
  <c r="F39" i="4"/>
  <c r="C39" i="4"/>
  <c r="L53" i="4"/>
  <c r="G56" i="4"/>
  <c r="AN54" i="4"/>
  <c r="J55" i="4" s="1"/>
  <c r="AO53" i="4"/>
  <c r="AL55" i="4"/>
  <c r="AM55" i="4"/>
  <c r="D61" i="4"/>
  <c r="AJ59" i="4" l="1"/>
  <c r="F60" i="4" s="1"/>
  <c r="M53" i="4"/>
  <c r="N53" i="4" s="1"/>
  <c r="AR53" i="4" s="1"/>
  <c r="D41" i="4"/>
  <c r="AD52" i="4" s="1"/>
  <c r="BH52" i="4" s="1"/>
  <c r="C40" i="4"/>
  <c r="F40" i="4"/>
  <c r="AN55" i="4"/>
  <c r="AP53" i="4"/>
  <c r="H56" i="4"/>
  <c r="AK56" i="4"/>
  <c r="G57" i="4" s="1"/>
  <c r="K54" i="4"/>
  <c r="D62" i="4"/>
  <c r="AQ53" i="4" l="1"/>
  <c r="D42" i="4"/>
  <c r="C41" i="4"/>
  <c r="F41" i="4"/>
  <c r="AO54" i="4"/>
  <c r="K55" i="4" s="1"/>
  <c r="AK57" i="4"/>
  <c r="G58" i="4" s="1"/>
  <c r="O53" i="4"/>
  <c r="I56" i="4"/>
  <c r="AL56" i="4"/>
  <c r="H57" i="4" s="1"/>
  <c r="L54" i="4"/>
  <c r="AP54" i="4" s="1"/>
  <c r="AJ60" i="4"/>
  <c r="F61" i="4" s="1"/>
  <c r="D63" i="4"/>
  <c r="D43" i="4" l="1"/>
  <c r="AF52" i="4" s="1"/>
  <c r="BJ52" i="4" s="1"/>
  <c r="AE52" i="4"/>
  <c r="BI52" i="4" s="1"/>
  <c r="J56" i="4"/>
  <c r="AS53" i="4"/>
  <c r="C43" i="4"/>
  <c r="F43" i="4"/>
  <c r="D44" i="4"/>
  <c r="AO55" i="4"/>
  <c r="C42" i="4"/>
  <c r="F42" i="4"/>
  <c r="AM56" i="4"/>
  <c r="I57" i="4" s="1"/>
  <c r="P53" i="4"/>
  <c r="AL57" i="4"/>
  <c r="H58" i="4" s="1"/>
  <c r="M54" i="4"/>
  <c r="L55" i="4"/>
  <c r="AK58" i="4"/>
  <c r="G59" i="4" s="1"/>
  <c r="D64" i="4"/>
  <c r="D45" i="4" l="1"/>
  <c r="AH52" i="4" s="1"/>
  <c r="BL52" i="4" s="1"/>
  <c r="AG52" i="4"/>
  <c r="BK52" i="4" s="1"/>
  <c r="K56" i="4"/>
  <c r="AO56" i="4" s="1"/>
  <c r="AN56" i="4"/>
  <c r="J57" i="4" s="1"/>
  <c r="C45" i="4"/>
  <c r="F45" i="4"/>
  <c r="D46" i="4"/>
  <c r="AI52" i="4" s="1"/>
  <c r="BM52" i="4" s="1"/>
  <c r="F44" i="4"/>
  <c r="C44" i="4"/>
  <c r="AT53" i="4"/>
  <c r="Q53" i="4"/>
  <c r="AQ54" i="4"/>
  <c r="AM57" i="4"/>
  <c r="I58" i="4" s="1"/>
  <c r="N54" i="4"/>
  <c r="AR54" i="4" s="1"/>
  <c r="AP55" i="4"/>
  <c r="AK59" i="4"/>
  <c r="G60" i="4" s="1"/>
  <c r="AL58" i="4"/>
  <c r="AJ61" i="4"/>
  <c r="F62" i="4" s="1"/>
  <c r="D65" i="4"/>
  <c r="AN57" i="4" l="1"/>
  <c r="J58" i="4" s="1"/>
  <c r="F46" i="4"/>
  <c r="C46" i="4"/>
  <c r="C47" i="4" s="1"/>
  <c r="K57" i="4"/>
  <c r="AU53" i="4"/>
  <c r="R53" i="4"/>
  <c r="AV53" i="4" s="1"/>
  <c r="L56" i="4"/>
  <c r="AM58" i="4"/>
  <c r="M55" i="4"/>
  <c r="O54" i="4"/>
  <c r="AK60" i="4"/>
  <c r="G61" i="4" s="1"/>
  <c r="H59" i="4"/>
  <c r="AJ62" i="4"/>
  <c r="F63" i="4" s="1"/>
  <c r="D66" i="4"/>
  <c r="S53" i="4" l="1"/>
  <c r="AW53" i="4" s="1"/>
  <c r="AO57" i="4"/>
  <c r="K58" i="4" s="1"/>
  <c r="AP56" i="4"/>
  <c r="L57" i="4" s="1"/>
  <c r="AQ55" i="4"/>
  <c r="M56" i="4" s="1"/>
  <c r="AS54" i="4"/>
  <c r="P54" i="4"/>
  <c r="AT54" i="4" s="1"/>
  <c r="AK61" i="4"/>
  <c r="G62" i="4" s="1"/>
  <c r="N55" i="4"/>
  <c r="AR55" i="4" s="1"/>
  <c r="I59" i="4"/>
  <c r="AM59" i="4" s="1"/>
  <c r="AN58" i="4"/>
  <c r="AL59" i="4"/>
  <c r="AJ63" i="4"/>
  <c r="F64" i="4" s="1"/>
  <c r="D67" i="4"/>
  <c r="T53" i="4" l="1"/>
  <c r="AX53" i="4" s="1"/>
  <c r="AQ56" i="4"/>
  <c r="M57" i="4" s="1"/>
  <c r="AK62" i="4"/>
  <c r="G63" i="4" s="1"/>
  <c r="N56" i="4"/>
  <c r="O55" i="4"/>
  <c r="AO58" i="4"/>
  <c r="AP57" i="4"/>
  <c r="L58" i="4" s="1"/>
  <c r="Q54" i="4"/>
  <c r="J59" i="4"/>
  <c r="H60" i="4"/>
  <c r="AJ64" i="4"/>
  <c r="F65" i="4" s="1"/>
  <c r="D68" i="4"/>
  <c r="U53" i="4" l="1"/>
  <c r="AY53" i="4" s="1"/>
  <c r="P55" i="4"/>
  <c r="AR56" i="4"/>
  <c r="AQ57" i="4"/>
  <c r="M58" i="4" s="1"/>
  <c r="AS55" i="4"/>
  <c r="O56" i="4" s="1"/>
  <c r="K59" i="4"/>
  <c r="AO59" i="4" s="1"/>
  <c r="N57" i="4"/>
  <c r="AU54" i="4"/>
  <c r="R54" i="4"/>
  <c r="AP58" i="4"/>
  <c r="AN59" i="4"/>
  <c r="I60" i="4"/>
  <c r="AM60" i="4" s="1"/>
  <c r="AL60" i="4"/>
  <c r="AJ65" i="4"/>
  <c r="F66" i="4" s="1"/>
  <c r="AK63" i="4"/>
  <c r="G64" i="4" s="1"/>
  <c r="D69" i="4"/>
  <c r="V53" i="4" l="1"/>
  <c r="AZ53" i="4" s="1"/>
  <c r="AQ58" i="4"/>
  <c r="AR57" i="4"/>
  <c r="S54" i="4"/>
  <c r="AT55" i="4"/>
  <c r="AV54" i="4"/>
  <c r="L59" i="4"/>
  <c r="AS56" i="4"/>
  <c r="O57" i="4" s="1"/>
  <c r="P56" i="4"/>
  <c r="Q55" i="4"/>
  <c r="N58" i="4"/>
  <c r="J60" i="4"/>
  <c r="H61" i="4"/>
  <c r="AJ66" i="4"/>
  <c r="F67" i="4" s="1"/>
  <c r="AK64" i="4"/>
  <c r="G65" i="4" s="1"/>
  <c r="D71" i="4"/>
  <c r="D70" i="4"/>
  <c r="W53" i="4" l="1"/>
  <c r="BA53" i="4" s="1"/>
  <c r="M59" i="4"/>
  <c r="AQ59" i="4" s="1"/>
  <c r="T54" i="4"/>
  <c r="U54" i="4" s="1"/>
  <c r="AY54" i="4" s="1"/>
  <c r="AW54" i="4"/>
  <c r="K60" i="4"/>
  <c r="AU55" i="4"/>
  <c r="Q56" i="4" s="1"/>
  <c r="AT56" i="4"/>
  <c r="P57" i="4" s="1"/>
  <c r="AP59" i="4"/>
  <c r="AS57" i="4"/>
  <c r="O58" i="4" s="1"/>
  <c r="AS58" i="4" s="1"/>
  <c r="R55" i="4"/>
  <c r="AR58" i="4"/>
  <c r="D72" i="4"/>
  <c r="I61" i="4"/>
  <c r="AM61" i="4" s="1"/>
  <c r="AN60" i="4"/>
  <c r="AL61" i="4"/>
  <c r="AK65" i="4"/>
  <c r="G66" i="4" s="1"/>
  <c r="X53" i="4" l="1"/>
  <c r="Y53" i="4" s="1"/>
  <c r="N59" i="4"/>
  <c r="AR59" i="4" s="1"/>
  <c r="AU56" i="4"/>
  <c r="S55" i="4"/>
  <c r="AV55" i="4"/>
  <c r="R56" i="4" s="1"/>
  <c r="AO60" i="4"/>
  <c r="V54" i="4"/>
  <c r="W54" i="4" s="1"/>
  <c r="BA54" i="4" s="1"/>
  <c r="AX54" i="4"/>
  <c r="AT57" i="4"/>
  <c r="P58" i="4" s="1"/>
  <c r="L60" i="4"/>
  <c r="Q57" i="4"/>
  <c r="J61" i="4"/>
  <c r="H62" i="4"/>
  <c r="AK66" i="4"/>
  <c r="G67" i="4" s="1"/>
  <c r="AJ67" i="4"/>
  <c r="F68" i="4" s="1"/>
  <c r="O59" i="4" l="1"/>
  <c r="BC53" i="4"/>
  <c r="BB53" i="4"/>
  <c r="X54" i="4" s="1"/>
  <c r="Z53" i="4"/>
  <c r="AP60" i="4"/>
  <c r="AU57" i="4"/>
  <c r="Q58" i="4" s="1"/>
  <c r="AV56" i="4"/>
  <c r="R57" i="4" s="1"/>
  <c r="T55" i="4"/>
  <c r="AX55" i="4" s="1"/>
  <c r="AW55" i="4"/>
  <c r="S56" i="4" s="1"/>
  <c r="M60" i="4"/>
  <c r="K61" i="4"/>
  <c r="AT58" i="4"/>
  <c r="AS59" i="4"/>
  <c r="AN61" i="4"/>
  <c r="I62" i="4"/>
  <c r="AM62" i="4" s="1"/>
  <c r="AL62" i="4"/>
  <c r="H63" i="4" s="1"/>
  <c r="AK67" i="4"/>
  <c r="G68" i="4" s="1"/>
  <c r="P59" i="4" l="1"/>
  <c r="AT59" i="4" s="1"/>
  <c r="BB54" i="4"/>
  <c r="Y54" i="4"/>
  <c r="BC54" i="4" s="1"/>
  <c r="AA53" i="4"/>
  <c r="AB53" i="4" s="1"/>
  <c r="BF53" i="4" s="1"/>
  <c r="BD53" i="4"/>
  <c r="AV57" i="4"/>
  <c r="AU58" i="4"/>
  <c r="AO61" i="4"/>
  <c r="U55" i="4"/>
  <c r="AQ60" i="4"/>
  <c r="T56" i="4"/>
  <c r="AX56" i="4" s="1"/>
  <c r="AW56" i="4"/>
  <c r="S57" i="4" s="1"/>
  <c r="AW57" i="4" s="1"/>
  <c r="N60" i="4"/>
  <c r="R58" i="4"/>
  <c r="AV58" i="4" s="1"/>
  <c r="L61" i="4"/>
  <c r="J62" i="4"/>
  <c r="I63" i="4"/>
  <c r="AM63" i="4" s="1"/>
  <c r="AL63" i="4"/>
  <c r="AJ68" i="4"/>
  <c r="F69" i="4" s="1"/>
  <c r="Q59" i="4" l="1"/>
  <c r="R59" i="4" s="1"/>
  <c r="AV59" i="4" s="1"/>
  <c r="Z54" i="4"/>
  <c r="BD54" i="4" s="1"/>
  <c r="BE53" i="4"/>
  <c r="AC53" i="4"/>
  <c r="BG53" i="4" s="1"/>
  <c r="AU59" i="4"/>
  <c r="AY55" i="4"/>
  <c r="U56" i="4" s="1"/>
  <c r="T57" i="4"/>
  <c r="AX57" i="4" s="1"/>
  <c r="AR60" i="4"/>
  <c r="O60" i="4"/>
  <c r="AS60" i="4" s="1"/>
  <c r="K62" i="4"/>
  <c r="AO62" i="4" s="1"/>
  <c r="S58" i="4"/>
  <c r="AP61" i="4"/>
  <c r="M61" i="4"/>
  <c r="AN62" i="4"/>
  <c r="J63" i="4" s="1"/>
  <c r="H64" i="4"/>
  <c r="AK68" i="4"/>
  <c r="G69" i="4" s="1"/>
  <c r="AA54" i="4" l="1"/>
  <c r="L62" i="4"/>
  <c r="AP62" i="4" s="1"/>
  <c r="AD53" i="4"/>
  <c r="BH53" i="4" s="1"/>
  <c r="P60" i="4"/>
  <c r="AT60" i="4" s="1"/>
  <c r="T58" i="4"/>
  <c r="AX58" i="4" s="1"/>
  <c r="AW58" i="4"/>
  <c r="S59" i="4" s="1"/>
  <c r="AY56" i="4"/>
  <c r="U57" i="4" s="1"/>
  <c r="N61" i="4"/>
  <c r="K63" i="4"/>
  <c r="AO63" i="4" s="1"/>
  <c r="AQ61" i="4"/>
  <c r="I64" i="4"/>
  <c r="AM64" i="4" s="1"/>
  <c r="AN63" i="4"/>
  <c r="AL64" i="4"/>
  <c r="AJ69" i="4"/>
  <c r="F70" i="4" s="1"/>
  <c r="AK69" i="4"/>
  <c r="M62" i="4" l="1"/>
  <c r="AQ62" i="4" s="1"/>
  <c r="Q60" i="4"/>
  <c r="AU60" i="4" s="1"/>
  <c r="BE54" i="4"/>
  <c r="AB54" i="4"/>
  <c r="AE53" i="4"/>
  <c r="AW59" i="4"/>
  <c r="T59" i="4"/>
  <c r="AX59" i="4" s="1"/>
  <c r="AY57" i="4"/>
  <c r="U58" i="4" s="1"/>
  <c r="O61" i="4"/>
  <c r="AS61" i="4" s="1"/>
  <c r="AR61" i="4"/>
  <c r="N62" i="4" s="1"/>
  <c r="L63" i="4"/>
  <c r="J64" i="4"/>
  <c r="H65" i="4"/>
  <c r="G70" i="4"/>
  <c r="R60" i="4" l="1"/>
  <c r="S60" i="4" s="1"/>
  <c r="P61" i="4"/>
  <c r="AT61" i="4" s="1"/>
  <c r="BF54" i="4"/>
  <c r="AC54" i="4"/>
  <c r="BI53" i="4"/>
  <c r="AF53" i="4"/>
  <c r="BJ53" i="4" s="1"/>
  <c r="AR62" i="4"/>
  <c r="AY58" i="4"/>
  <c r="U59" i="4" s="1"/>
  <c r="AP63" i="4"/>
  <c r="M63" i="4"/>
  <c r="K64" i="4"/>
  <c r="O62" i="4"/>
  <c r="AN64" i="4"/>
  <c r="I65" i="4"/>
  <c r="AM65" i="4" s="1"/>
  <c r="AL65" i="4"/>
  <c r="AK70" i="4"/>
  <c r="AJ70" i="4"/>
  <c r="AV60" i="4" l="1"/>
  <c r="Q61" i="4"/>
  <c r="AU61" i="4" s="1"/>
  <c r="BG54" i="4"/>
  <c r="AD54" i="4"/>
  <c r="BH54" i="4" s="1"/>
  <c r="L64" i="4"/>
  <c r="AP64" i="4" s="1"/>
  <c r="AG53" i="4"/>
  <c r="AW60" i="4"/>
  <c r="T60" i="4"/>
  <c r="AX60" i="4" s="1"/>
  <c r="AY59" i="4"/>
  <c r="AQ63" i="4"/>
  <c r="N63" i="4"/>
  <c r="AS62" i="4"/>
  <c r="P62" i="4"/>
  <c r="AO64" i="4"/>
  <c r="J65" i="4"/>
  <c r="F71" i="4"/>
  <c r="H66" i="4"/>
  <c r="R61" i="4" l="1"/>
  <c r="AV61" i="4" s="1"/>
  <c r="M64" i="4"/>
  <c r="AQ64" i="4" s="1"/>
  <c r="AE54" i="4"/>
  <c r="U60" i="4"/>
  <c r="AY60" i="4" s="1"/>
  <c r="BK53" i="4"/>
  <c r="AH53" i="4"/>
  <c r="BL53" i="4" s="1"/>
  <c r="AR63" i="4"/>
  <c r="K65" i="4"/>
  <c r="AO65" i="4" s="1"/>
  <c r="O63" i="4"/>
  <c r="AT62" i="4"/>
  <c r="Q62" i="4"/>
  <c r="AN65" i="4"/>
  <c r="I66" i="4"/>
  <c r="AM66" i="4" s="1"/>
  <c r="AJ71" i="4"/>
  <c r="AL66" i="4"/>
  <c r="H67" i="4" s="1"/>
  <c r="G71" i="4"/>
  <c r="AK71" i="4" s="1"/>
  <c r="S61" i="4" l="1"/>
  <c r="N64" i="4"/>
  <c r="AR64" i="4" s="1"/>
  <c r="BI54" i="4"/>
  <c r="AF54" i="4"/>
  <c r="BJ54" i="4" s="1"/>
  <c r="AI53" i="4"/>
  <c r="BM53" i="4" s="1"/>
  <c r="L65" i="4"/>
  <c r="AP65" i="4" s="1"/>
  <c r="AS63" i="4"/>
  <c r="AU62" i="4"/>
  <c r="P63" i="4"/>
  <c r="R62" i="4"/>
  <c r="J66" i="4"/>
  <c r="I67" i="4"/>
  <c r="AM67" i="4" s="1"/>
  <c r="AL67" i="4"/>
  <c r="AW61" i="4" l="1"/>
  <c r="T61" i="4"/>
  <c r="O64" i="4"/>
  <c r="AS64" i="4" s="1"/>
  <c r="E53" i="4"/>
  <c r="A53" i="4" s="1"/>
  <c r="AG54" i="4"/>
  <c r="AV62" i="4"/>
  <c r="M65" i="4"/>
  <c r="N65" i="4" s="1"/>
  <c r="AR65" i="4" s="1"/>
  <c r="Q63" i="4"/>
  <c r="R63" i="4" s="1"/>
  <c r="AV63" i="4" s="1"/>
  <c r="AT63" i="4"/>
  <c r="S62" i="4"/>
  <c r="K66" i="4"/>
  <c r="AN66" i="4"/>
  <c r="J67" i="4" s="1"/>
  <c r="H68" i="4"/>
  <c r="P64" i="4" l="1"/>
  <c r="AT64" i="4" s="1"/>
  <c r="AX61" i="4"/>
  <c r="T62" i="4" s="1"/>
  <c r="AX62" i="4" s="1"/>
  <c r="U61" i="4"/>
  <c r="AY61" i="4" s="1"/>
  <c r="AQ65" i="4"/>
  <c r="BK54" i="4"/>
  <c r="AH54" i="4"/>
  <c r="BL54" i="4" s="1"/>
  <c r="O65" i="4"/>
  <c r="AS65" i="4" s="1"/>
  <c r="AU63" i="4"/>
  <c r="AW62" i="4"/>
  <c r="S63" i="4" s="1"/>
  <c r="AO66" i="4"/>
  <c r="K67" i="4" s="1"/>
  <c r="L66" i="4"/>
  <c r="AN67" i="4"/>
  <c r="I68" i="4"/>
  <c r="AM68" i="4" s="1"/>
  <c r="AL68" i="4"/>
  <c r="H69" i="4" s="1"/>
  <c r="Q64" i="4" l="1"/>
  <c r="P65" i="4"/>
  <c r="AT65" i="4" s="1"/>
  <c r="AI54" i="4"/>
  <c r="BM54" i="4" s="1"/>
  <c r="U62" i="4"/>
  <c r="AY62" i="4" s="1"/>
  <c r="AU64" i="4"/>
  <c r="R64" i="4"/>
  <c r="AW63" i="4"/>
  <c r="T63" i="4"/>
  <c r="AX63" i="4" s="1"/>
  <c r="AO67" i="4"/>
  <c r="AP66" i="4"/>
  <c r="L67" i="4" s="1"/>
  <c r="M66" i="4"/>
  <c r="N66" i="4" s="1"/>
  <c r="AR66" i="4" s="1"/>
  <c r="J68" i="4"/>
  <c r="I69" i="4"/>
  <c r="AM69" i="4" s="1"/>
  <c r="AL69" i="4"/>
  <c r="Q65" i="4" l="1"/>
  <c r="AU65" i="4" s="1"/>
  <c r="E54" i="4"/>
  <c r="S64" i="4"/>
  <c r="AW64" i="4" s="1"/>
  <c r="AV64" i="4"/>
  <c r="U63" i="4"/>
  <c r="AP67" i="4"/>
  <c r="AQ66" i="4"/>
  <c r="M67" i="4" s="1"/>
  <c r="AN68" i="4"/>
  <c r="J69" i="4" s="1"/>
  <c r="O66" i="4"/>
  <c r="K68" i="4"/>
  <c r="H70" i="4"/>
  <c r="R65" i="4" l="1"/>
  <c r="AV65" i="4" s="1"/>
  <c r="T64" i="4"/>
  <c r="AX64" i="4" s="1"/>
  <c r="A54" i="4"/>
  <c r="AY63" i="4"/>
  <c r="L68" i="4"/>
  <c r="AP68" i="4" s="1"/>
  <c r="AQ67" i="4"/>
  <c r="N67" i="4"/>
  <c r="AS66" i="4"/>
  <c r="P66" i="4"/>
  <c r="AO68" i="4"/>
  <c r="K69" i="4" s="1"/>
  <c r="AO69" i="4" s="1"/>
  <c r="I70" i="4"/>
  <c r="AM70" i="4" s="1"/>
  <c r="AL70" i="4"/>
  <c r="H71" i="4" s="1"/>
  <c r="AN69" i="4"/>
  <c r="S65" i="4" l="1"/>
  <c r="AW65" i="4" s="1"/>
  <c r="U64" i="4"/>
  <c r="AY64" i="4" s="1"/>
  <c r="M68" i="4"/>
  <c r="AQ68" i="4" s="1"/>
  <c r="C20" i="5"/>
  <c r="C16" i="5"/>
  <c r="C17" i="5"/>
  <c r="C21" i="5"/>
  <c r="C18" i="5"/>
  <c r="C22" i="5"/>
  <c r="C19" i="5"/>
  <c r="C23" i="5"/>
  <c r="AR67" i="4"/>
  <c r="T65" i="4"/>
  <c r="Q66" i="4"/>
  <c r="AU66" i="4" s="1"/>
  <c r="AT66" i="4"/>
  <c r="L69" i="4"/>
  <c r="O67" i="4"/>
  <c r="AL71" i="4"/>
  <c r="I71" i="4"/>
  <c r="AM71" i="4" s="1"/>
  <c r="J70" i="4"/>
  <c r="N68" i="4" l="1"/>
  <c r="AR68" i="4" s="1"/>
  <c r="J18" i="5"/>
  <c r="J20" i="5"/>
  <c r="J23" i="5"/>
  <c r="J21" i="5"/>
  <c r="J19" i="5"/>
  <c r="J17" i="5"/>
  <c r="J22" i="5"/>
  <c r="J16" i="5"/>
  <c r="C15" i="5"/>
  <c r="AX65" i="4"/>
  <c r="U65" i="4"/>
  <c r="R66" i="4"/>
  <c r="S66" i="4" s="1"/>
  <c r="M69" i="4"/>
  <c r="AP69" i="4"/>
  <c r="K70" i="4"/>
  <c r="AS67" i="4"/>
  <c r="O68" i="4" s="1"/>
  <c r="P67" i="4"/>
  <c r="AT67" i="4" s="1"/>
  <c r="AN70" i="4"/>
  <c r="J15" i="5" l="1"/>
  <c r="M15" i="5" s="1"/>
  <c r="AQ69" i="4"/>
  <c r="AV66" i="4"/>
  <c r="N69" i="4"/>
  <c r="AR69" i="4" s="1"/>
  <c r="AY65" i="4"/>
  <c r="T66" i="4"/>
  <c r="AX66" i="4" s="1"/>
  <c r="AW66" i="4"/>
  <c r="AS68" i="4"/>
  <c r="P68" i="4"/>
  <c r="AT68" i="4" s="1"/>
  <c r="AO70" i="4"/>
  <c r="L70" i="4"/>
  <c r="Q67" i="4"/>
  <c r="J71" i="4"/>
  <c r="O69" i="4" l="1"/>
  <c r="AS69" i="4" s="1"/>
  <c r="K15" i="5"/>
  <c r="N15" i="5" s="1"/>
  <c r="U66" i="4"/>
  <c r="AY66" i="4" s="1"/>
  <c r="M70" i="4"/>
  <c r="AU67" i="4"/>
  <c r="Q68" i="4" s="1"/>
  <c r="R67" i="4"/>
  <c r="AP70" i="4"/>
  <c r="P69" i="4"/>
  <c r="K71" i="4"/>
  <c r="AO71" i="4" s="1"/>
  <c r="AN71" i="4"/>
  <c r="AV67" i="4" l="1"/>
  <c r="R68" i="4" s="1"/>
  <c r="AT69" i="4"/>
  <c r="AQ70" i="4"/>
  <c r="S67" i="4"/>
  <c r="L71" i="4"/>
  <c r="N70" i="4"/>
  <c r="AR70" i="4" s="1"/>
  <c r="AU68" i="4"/>
  <c r="Q69" i="4" s="1"/>
  <c r="AW67" i="4" l="1"/>
  <c r="T67" i="4"/>
  <c r="AX67" i="4" s="1"/>
  <c r="AV68" i="4"/>
  <c r="M71" i="4"/>
  <c r="AP71" i="4"/>
  <c r="O70" i="4"/>
  <c r="AU69" i="4"/>
  <c r="R69" i="4"/>
  <c r="S68" i="4"/>
  <c r="AW68" i="4" s="1"/>
  <c r="U67" i="4" l="1"/>
  <c r="AY67" i="4" s="1"/>
  <c r="AV69" i="4"/>
  <c r="AQ71" i="4"/>
  <c r="T68" i="4"/>
  <c r="U68" i="4" s="1"/>
  <c r="AY68" i="4" s="1"/>
  <c r="N71" i="4"/>
  <c r="P70" i="4"/>
  <c r="AS70" i="4"/>
  <c r="S69" i="4"/>
  <c r="AW69" i="4" s="1"/>
  <c r="O71" i="4" l="1"/>
  <c r="AS71" i="4" s="1"/>
  <c r="AR71" i="4"/>
  <c r="AX68" i="4"/>
  <c r="T69" i="4" s="1"/>
  <c r="AT70" i="4"/>
  <c r="Q70" i="4"/>
  <c r="P71" i="4" l="1"/>
  <c r="AT71" i="4" s="1"/>
  <c r="AX69" i="4"/>
  <c r="U69" i="4"/>
  <c r="AU70" i="4"/>
  <c r="R70" i="4"/>
  <c r="Q71" i="4" l="1"/>
  <c r="AU71" i="4" s="1"/>
  <c r="AY69" i="4"/>
  <c r="AV70" i="4"/>
  <c r="S70" i="4"/>
  <c r="AW70" i="4" s="1"/>
  <c r="R71" i="4" l="1"/>
  <c r="AV71" i="4" s="1"/>
  <c r="T70" i="4"/>
  <c r="AX70" i="4" s="1"/>
  <c r="S71" i="4" l="1"/>
  <c r="AW71" i="4" s="1"/>
  <c r="U70" i="4"/>
  <c r="AY70" i="4" s="1"/>
  <c r="T71" i="4" l="1"/>
  <c r="AX71" i="4" s="1"/>
  <c r="U71" i="4" l="1"/>
  <c r="AY71" i="4" s="1"/>
  <c r="AZ54" i="4"/>
  <c r="V55" i="4" s="1"/>
  <c r="W55" i="4" l="1"/>
  <c r="BA55" i="4" s="1"/>
  <c r="AZ55" i="4"/>
  <c r="V56" i="4" s="1"/>
  <c r="AZ56" i="4" l="1"/>
  <c r="V57" i="4" s="1"/>
  <c r="W56" i="4"/>
  <c r="BA56" i="4" s="1"/>
  <c r="X55" i="4"/>
  <c r="Y55" i="4" l="1"/>
  <c r="BB55" i="4"/>
  <c r="AZ57" i="4"/>
  <c r="W57" i="4"/>
  <c r="BA57" i="4" s="1"/>
  <c r="Z55" i="4"/>
  <c r="BD55" i="4" s="1"/>
  <c r="X56" i="4"/>
  <c r="BB56" i="4" s="1"/>
  <c r="V58" i="4"/>
  <c r="AZ58" i="4" l="1"/>
  <c r="W58" i="4"/>
  <c r="BA58" i="4" s="1"/>
  <c r="BC55" i="4"/>
  <c r="Y56" i="4" s="1"/>
  <c r="AA55" i="4"/>
  <c r="AB55" i="4" s="1"/>
  <c r="BF55" i="4" s="1"/>
  <c r="X57" i="4"/>
  <c r="V59" i="4"/>
  <c r="BC56" i="4" l="1"/>
  <c r="Y57" i="4" s="1"/>
  <c r="AZ59" i="4"/>
  <c r="V60" i="4" s="1"/>
  <c r="W59" i="4"/>
  <c r="BA59" i="4" s="1"/>
  <c r="BB57" i="4"/>
  <c r="Z56" i="4"/>
  <c r="BE55" i="4"/>
  <c r="AC55" i="4"/>
  <c r="BG55" i="4" s="1"/>
  <c r="X58" i="4"/>
  <c r="AD55" i="4" l="1"/>
  <c r="BH55" i="4" s="1"/>
  <c r="BD56" i="4"/>
  <c r="Z57" i="4" s="1"/>
  <c r="AA56" i="4"/>
  <c r="BE56" i="4" s="1"/>
  <c r="BB58" i="4"/>
  <c r="X59" i="4" s="1"/>
  <c r="AE55" i="4"/>
  <c r="BC57" i="4"/>
  <c r="Y58" i="4" s="1"/>
  <c r="AZ60" i="4"/>
  <c r="V61" i="4" s="1"/>
  <c r="W60" i="4"/>
  <c r="BA60" i="4" s="1"/>
  <c r="AA57" i="4" l="1"/>
  <c r="BE57" i="4" s="1"/>
  <c r="AB56" i="4"/>
  <c r="BF56" i="4" s="1"/>
  <c r="BI55" i="4"/>
  <c r="AF55" i="4"/>
  <c r="BJ55" i="4" s="1"/>
  <c r="BD57" i="4"/>
  <c r="Z58" i="4" s="1"/>
  <c r="BB59" i="4"/>
  <c r="X60" i="4" s="1"/>
  <c r="AZ61" i="4"/>
  <c r="V62" i="4" s="1"/>
  <c r="W61" i="4"/>
  <c r="BA61" i="4" s="1"/>
  <c r="BC58" i="4"/>
  <c r="Y59" i="4" s="1"/>
  <c r="AB57" i="4" l="1"/>
  <c r="BF57" i="4" s="1"/>
  <c r="AG55" i="4"/>
  <c r="AC56" i="4"/>
  <c r="AD56" i="4" s="1"/>
  <c r="BH56" i="4" s="1"/>
  <c r="BB60" i="4"/>
  <c r="X61" i="4" s="1"/>
  <c r="AZ62" i="4"/>
  <c r="V63" i="4" s="1"/>
  <c r="W62" i="4"/>
  <c r="BA62" i="4" s="1"/>
  <c r="BC59" i="4"/>
  <c r="Y60" i="4" s="1"/>
  <c r="BD58" i="4"/>
  <c r="Z59" i="4" s="1"/>
  <c r="AA58" i="4"/>
  <c r="BE58" i="4" s="1"/>
  <c r="AB58" i="4" l="1"/>
  <c r="BF58" i="4" s="1"/>
  <c r="BG56" i="4"/>
  <c r="AC57" i="4" s="1"/>
  <c r="AE56" i="4"/>
  <c r="BI56" i="4" s="1"/>
  <c r="BK55" i="4"/>
  <c r="AH55" i="4"/>
  <c r="BC60" i="4"/>
  <c r="BD59" i="4"/>
  <c r="Z60" i="4" s="1"/>
  <c r="BD60" i="4" s="1"/>
  <c r="AA59" i="4"/>
  <c r="BE59" i="4" s="1"/>
  <c r="AZ63" i="4"/>
  <c r="V64" i="4" s="1"/>
  <c r="W63" i="4"/>
  <c r="BA63" i="4" s="1"/>
  <c r="BB61" i="4"/>
  <c r="X62" i="4" s="1"/>
  <c r="Y61" i="4"/>
  <c r="AF56" i="4" l="1"/>
  <c r="BJ56" i="4" s="1"/>
  <c r="AB59" i="4"/>
  <c r="BF59" i="4" s="1"/>
  <c r="BL55" i="4"/>
  <c r="AI55" i="4"/>
  <c r="BM55" i="4" s="1"/>
  <c r="BG57" i="4"/>
  <c r="AC58" i="4" s="1"/>
  <c r="AD57" i="4"/>
  <c r="BC61" i="4"/>
  <c r="Z61" i="4"/>
  <c r="BD61" i="4" s="1"/>
  <c r="AA60" i="4"/>
  <c r="AZ64" i="4"/>
  <c r="V65" i="4" s="1"/>
  <c r="W64" i="4"/>
  <c r="BA64" i="4" s="1"/>
  <c r="BB62" i="4"/>
  <c r="X63" i="4" s="1"/>
  <c r="Y62" i="4"/>
  <c r="AB60" i="4" l="1"/>
  <c r="BF60" i="4" s="1"/>
  <c r="Z62" i="4"/>
  <c r="BD62" i="4" s="1"/>
  <c r="E55" i="4"/>
  <c r="AG56" i="4"/>
  <c r="BG58" i="4"/>
  <c r="AC59" i="4" s="1"/>
  <c r="BG59" i="4" s="1"/>
  <c r="AC60" i="4" s="1"/>
  <c r="BH57" i="4"/>
  <c r="AD58" i="4" s="1"/>
  <c r="AE57" i="4"/>
  <c r="BE60" i="4"/>
  <c r="AA61" i="4" s="1"/>
  <c r="BC62" i="4"/>
  <c r="AZ65" i="4"/>
  <c r="V66" i="4" s="1"/>
  <c r="W65" i="4"/>
  <c r="BA65" i="4" s="1"/>
  <c r="BB63" i="4"/>
  <c r="X64" i="4" s="1"/>
  <c r="Y63" i="4"/>
  <c r="BC63" i="4" s="1"/>
  <c r="A55" i="4" l="1"/>
  <c r="D24" i="5"/>
  <c r="AH56" i="4"/>
  <c r="BL56" i="4" s="1"/>
  <c r="BK56" i="4"/>
  <c r="BH58" i="4"/>
  <c r="AD59" i="4" s="1"/>
  <c r="Z63" i="4"/>
  <c r="BD63" i="4" s="1"/>
  <c r="AF57" i="4"/>
  <c r="BI57" i="4"/>
  <c r="BB64" i="4"/>
  <c r="X65" i="4" s="1"/>
  <c r="Y64" i="4"/>
  <c r="BC64" i="4" s="1"/>
  <c r="BE61" i="4"/>
  <c r="AA62" i="4" s="1"/>
  <c r="AB61" i="4"/>
  <c r="BG60" i="4"/>
  <c r="AZ66" i="4"/>
  <c r="V67" i="4" s="1"/>
  <c r="W66" i="4"/>
  <c r="BA66" i="4" s="1"/>
  <c r="AG57" i="4" l="1"/>
  <c r="BK57" i="4" s="1"/>
  <c r="C32" i="5"/>
  <c r="C31" i="5"/>
  <c r="C26" i="5"/>
  <c r="C25" i="5"/>
  <c r="C27" i="5"/>
  <c r="C28" i="5"/>
  <c r="C30" i="5"/>
  <c r="C29" i="5"/>
  <c r="Y65" i="4"/>
  <c r="BC65" i="4" s="1"/>
  <c r="AI56" i="4"/>
  <c r="BM56" i="4" s="1"/>
  <c r="BH59" i="4"/>
  <c r="AD60" i="4" s="1"/>
  <c r="AE58" i="4"/>
  <c r="AC61" i="4"/>
  <c r="BG61" i="4" s="1"/>
  <c r="BJ57" i="4"/>
  <c r="AZ67" i="4"/>
  <c r="V68" i="4" s="1"/>
  <c r="W67" i="4"/>
  <c r="BA67" i="4" s="1"/>
  <c r="BE62" i="4"/>
  <c r="AA63" i="4" s="1"/>
  <c r="BF61" i="4"/>
  <c r="AB62" i="4" s="1"/>
  <c r="BB65" i="4"/>
  <c r="X66" i="4" s="1"/>
  <c r="Z64" i="4"/>
  <c r="AH57" i="4" l="1"/>
  <c r="BL57" i="4" s="1"/>
  <c r="J29" i="5"/>
  <c r="J25" i="5"/>
  <c r="C24" i="5"/>
  <c r="BI58" i="4"/>
  <c r="AE59" i="4" s="1"/>
  <c r="BI59" i="4" s="1"/>
  <c r="AE60" i="4" s="1"/>
  <c r="J30" i="5"/>
  <c r="J26" i="5"/>
  <c r="F44" i="5"/>
  <c r="J28" i="5"/>
  <c r="J31" i="5"/>
  <c r="J27" i="5"/>
  <c r="J32" i="5"/>
  <c r="E56" i="4"/>
  <c r="AF58" i="4"/>
  <c r="BH60" i="4"/>
  <c r="AD61" i="4" s="1"/>
  <c r="AZ68" i="4"/>
  <c r="V69" i="4" s="1"/>
  <c r="W68" i="4"/>
  <c r="BA68" i="4" s="1"/>
  <c r="BF62" i="4"/>
  <c r="AC62" i="4"/>
  <c r="BG62" i="4" s="1"/>
  <c r="Y66" i="4"/>
  <c r="BE63" i="4"/>
  <c r="AA64" i="4" s="1"/>
  <c r="AB63" i="4"/>
  <c r="BF63" i="4" s="1"/>
  <c r="BD64" i="4"/>
  <c r="Z65" i="4" s="1"/>
  <c r="BB66" i="4"/>
  <c r="X67" i="4" s="1"/>
  <c r="F33" i="5" l="1"/>
  <c r="AI57" i="4"/>
  <c r="G42" i="5"/>
  <c r="F42" i="5"/>
  <c r="AC63" i="4"/>
  <c r="BG63" i="4" s="1"/>
  <c r="A56" i="4"/>
  <c r="D33" i="5"/>
  <c r="J24" i="5"/>
  <c r="BI60" i="4"/>
  <c r="AE61" i="4" s="1"/>
  <c r="BH61" i="4"/>
  <c r="AD62" i="4" s="1"/>
  <c r="BJ58" i="4"/>
  <c r="AG58" i="4"/>
  <c r="BK58" i="4" s="1"/>
  <c r="AB64" i="4"/>
  <c r="BF64" i="4" s="1"/>
  <c r="BB67" i="4"/>
  <c r="X68" i="4" s="1"/>
  <c r="BE64" i="4"/>
  <c r="AA65" i="4" s="1"/>
  <c r="BE65" i="4" s="1"/>
  <c r="AZ69" i="4"/>
  <c r="W69" i="4"/>
  <c r="BA69" i="4" s="1"/>
  <c r="BD65" i="4"/>
  <c r="Z66" i="4" s="1"/>
  <c r="BC66" i="4"/>
  <c r="Y67" i="4" s="1"/>
  <c r="V70" i="4"/>
  <c r="BM57" i="4" l="1"/>
  <c r="E57" i="4"/>
  <c r="AC64" i="4"/>
  <c r="BG64" i="4" s="1"/>
  <c r="K24" i="5"/>
  <c r="M24" i="5"/>
  <c r="I33" i="5"/>
  <c r="C35" i="5"/>
  <c r="C40" i="5"/>
  <c r="C38" i="5"/>
  <c r="C34" i="5"/>
  <c r="C41" i="5"/>
  <c r="C39" i="5"/>
  <c r="C37" i="5"/>
  <c r="C36" i="5"/>
  <c r="AA66" i="4"/>
  <c r="BE66" i="4" s="1"/>
  <c r="AH58" i="4"/>
  <c r="BL58" i="4" s="1"/>
  <c r="AF59" i="4"/>
  <c r="BI61" i="4"/>
  <c r="BC67" i="4"/>
  <c r="Y68" i="4" s="1"/>
  <c r="BH62" i="4"/>
  <c r="AD63" i="4" s="1"/>
  <c r="BB68" i="4"/>
  <c r="X69" i="4" s="1"/>
  <c r="AZ70" i="4"/>
  <c r="V71" i="4" s="1"/>
  <c r="W70" i="4"/>
  <c r="BA70" i="4" s="1"/>
  <c r="AE62" i="4"/>
  <c r="BI62" i="4" s="1"/>
  <c r="AB65" i="4"/>
  <c r="BD66" i="4"/>
  <c r="Z67" i="4" s="1"/>
  <c r="BD67" i="4" s="1"/>
  <c r="N24" i="5" l="1"/>
  <c r="D42" i="5"/>
  <c r="A57" i="4"/>
  <c r="J36" i="5"/>
  <c r="C33" i="5"/>
  <c r="F52" i="5"/>
  <c r="J34" i="5"/>
  <c r="J37" i="5"/>
  <c r="F55" i="5"/>
  <c r="J38" i="5"/>
  <c r="F56" i="5"/>
  <c r="F57" i="5"/>
  <c r="J39" i="5"/>
  <c r="F58" i="5"/>
  <c r="J40" i="5"/>
  <c r="J41" i="5"/>
  <c r="F53" i="5"/>
  <c r="J35" i="5"/>
  <c r="Z68" i="4"/>
  <c r="BD68" i="4" s="1"/>
  <c r="AG59" i="4"/>
  <c r="BK59" i="4" s="1"/>
  <c r="BJ59" i="4"/>
  <c r="AI58" i="4"/>
  <c r="BM58" i="4" s="1"/>
  <c r="AZ71" i="4"/>
  <c r="W71" i="4"/>
  <c r="BA71" i="4" s="1"/>
  <c r="BC68" i="4"/>
  <c r="Y69" i="4" s="1"/>
  <c r="BF65" i="4"/>
  <c r="AB66" i="4" s="1"/>
  <c r="AA67" i="4"/>
  <c r="BE67" i="4" s="1"/>
  <c r="AA68" i="4" s="1"/>
  <c r="AC65" i="4"/>
  <c r="BG65" i="4" s="1"/>
  <c r="BB69" i="4"/>
  <c r="X70" i="4" s="1"/>
  <c r="BH63" i="4"/>
  <c r="AD64" i="4" s="1"/>
  <c r="AE63" i="4"/>
  <c r="BI63" i="4" s="1"/>
  <c r="C49" i="5" l="1"/>
  <c r="C45" i="5"/>
  <c r="J45" i="5" s="1"/>
  <c r="C46" i="5"/>
  <c r="C43" i="5"/>
  <c r="C47" i="5"/>
  <c r="C50" i="5"/>
  <c r="J50" i="5" s="1"/>
  <c r="I42" i="5"/>
  <c r="C44" i="5"/>
  <c r="C48" i="5"/>
  <c r="J33" i="5"/>
  <c r="E58" i="4"/>
  <c r="G51" i="5"/>
  <c r="F51" i="5"/>
  <c r="Z69" i="4"/>
  <c r="BD69" i="4" s="1"/>
  <c r="AF60" i="4"/>
  <c r="AH59" i="4"/>
  <c r="BL59" i="4" s="1"/>
  <c r="BB70" i="4"/>
  <c r="X71" i="4" s="1"/>
  <c r="BE68" i="4"/>
  <c r="BH64" i="4"/>
  <c r="AD65" i="4" s="1"/>
  <c r="AE64" i="4"/>
  <c r="BI64" i="4" s="1"/>
  <c r="BF66" i="4"/>
  <c r="AB67" i="4" s="1"/>
  <c r="AC66" i="4"/>
  <c r="BG66" i="4" s="1"/>
  <c r="BC69" i="4"/>
  <c r="Y70" i="4" s="1"/>
  <c r="F62" i="5" l="1"/>
  <c r="J44" i="5"/>
  <c r="C42" i="5"/>
  <c r="F61" i="5"/>
  <c r="J43" i="5"/>
  <c r="F64" i="5"/>
  <c r="J46" i="5"/>
  <c r="F66" i="5"/>
  <c r="J48" i="5"/>
  <c r="F65" i="5"/>
  <c r="J47" i="5"/>
  <c r="F67" i="5"/>
  <c r="J49" i="5"/>
  <c r="D51" i="5"/>
  <c r="A58" i="4"/>
  <c r="AA69" i="4"/>
  <c r="BE69" i="4" s="1"/>
  <c r="K33" i="5"/>
  <c r="M33" i="5"/>
  <c r="AG60" i="4"/>
  <c r="BK60" i="4" s="1"/>
  <c r="I51" i="5"/>
  <c r="BJ60" i="4"/>
  <c r="AF61" i="4" s="1"/>
  <c r="AI59" i="4"/>
  <c r="BM59" i="4" s="1"/>
  <c r="BC70" i="4"/>
  <c r="Y71" i="4" s="1"/>
  <c r="Z70" i="4"/>
  <c r="BD70" i="4" s="1"/>
  <c r="BF67" i="4"/>
  <c r="AB68" i="4" s="1"/>
  <c r="AC67" i="4"/>
  <c r="BG67" i="4" s="1"/>
  <c r="BH65" i="4"/>
  <c r="AD66" i="4" s="1"/>
  <c r="AE65" i="4"/>
  <c r="BB71" i="4"/>
  <c r="AH60" i="4" l="1"/>
  <c r="BL60" i="4" s="1"/>
  <c r="G60" i="5"/>
  <c r="F60" i="5"/>
  <c r="J42" i="5"/>
  <c r="AI60" i="4"/>
  <c r="BM60" i="4" s="1"/>
  <c r="N33" i="5"/>
  <c r="BI65" i="4"/>
  <c r="AE66" i="4" s="1"/>
  <c r="BI66" i="4" s="1"/>
  <c r="C58" i="5"/>
  <c r="C59" i="5"/>
  <c r="C56" i="5"/>
  <c r="C53" i="5"/>
  <c r="C52" i="5"/>
  <c r="C55" i="5"/>
  <c r="C54" i="5"/>
  <c r="C57" i="5"/>
  <c r="E59" i="4"/>
  <c r="AA70" i="4"/>
  <c r="BE70" i="4" s="1"/>
  <c r="BJ61" i="4"/>
  <c r="AF62" i="4" s="1"/>
  <c r="AG61" i="4"/>
  <c r="BK61" i="4" s="1"/>
  <c r="BH66" i="4"/>
  <c r="AD67" i="4" s="1"/>
  <c r="BF68" i="4"/>
  <c r="AB69" i="4" s="1"/>
  <c r="AC68" i="4"/>
  <c r="BG68" i="4" s="1"/>
  <c r="BC71" i="4"/>
  <c r="Z71" i="4"/>
  <c r="BD71" i="4" s="1"/>
  <c r="E60" i="4" l="1"/>
  <c r="A60" i="4" s="1"/>
  <c r="M42" i="5"/>
  <c r="K42" i="5"/>
  <c r="F75" i="5"/>
  <c r="J57" i="5"/>
  <c r="F71" i="5"/>
  <c r="J53" i="5"/>
  <c r="F72" i="5"/>
  <c r="J54" i="5"/>
  <c r="F74" i="5"/>
  <c r="J56" i="5"/>
  <c r="F73" i="5"/>
  <c r="J55" i="5"/>
  <c r="J59" i="5"/>
  <c r="D60" i="5"/>
  <c r="A59" i="4"/>
  <c r="F70" i="5"/>
  <c r="C51" i="5"/>
  <c r="J52" i="5"/>
  <c r="J58" i="5"/>
  <c r="F76" i="5"/>
  <c r="AH61" i="4"/>
  <c r="BL61" i="4" s="1"/>
  <c r="AA71" i="4"/>
  <c r="BE71" i="4" s="1"/>
  <c r="BJ62" i="4"/>
  <c r="AF63" i="4" s="1"/>
  <c r="AG62" i="4"/>
  <c r="BK62" i="4" s="1"/>
  <c r="BF69" i="4"/>
  <c r="AB70" i="4" s="1"/>
  <c r="AC69" i="4"/>
  <c r="BG69" i="4" s="1"/>
  <c r="BH67" i="4"/>
  <c r="AD68" i="4" s="1"/>
  <c r="AE67" i="4"/>
  <c r="BI67" i="4" s="1"/>
  <c r="D69" i="5" l="1"/>
  <c r="N42" i="5"/>
  <c r="J51" i="5"/>
  <c r="K51" i="5" s="1"/>
  <c r="C66" i="5"/>
  <c r="C61" i="5"/>
  <c r="C63" i="5"/>
  <c r="C67" i="5"/>
  <c r="C65" i="5"/>
  <c r="C64" i="5"/>
  <c r="C68" i="5"/>
  <c r="C62" i="5"/>
  <c r="I60" i="5"/>
  <c r="G69" i="5"/>
  <c r="F69" i="5"/>
  <c r="C75" i="5"/>
  <c r="F93" i="5" s="1"/>
  <c r="C70" i="5"/>
  <c r="C76" i="5"/>
  <c r="C77" i="5"/>
  <c r="C74" i="5"/>
  <c r="C72" i="5"/>
  <c r="C71" i="5"/>
  <c r="C73" i="5"/>
  <c r="F91" i="5" s="1"/>
  <c r="AI61" i="4"/>
  <c r="BM61" i="4" s="1"/>
  <c r="AG63" i="4"/>
  <c r="BK63" i="4" s="1"/>
  <c r="BJ63" i="4"/>
  <c r="AF64" i="4" s="1"/>
  <c r="AH62" i="4"/>
  <c r="BL62" i="4" s="1"/>
  <c r="BF70" i="4"/>
  <c r="AB71" i="4" s="1"/>
  <c r="AC70" i="4"/>
  <c r="BG70" i="4" s="1"/>
  <c r="BH68" i="4"/>
  <c r="AD69" i="4" s="1"/>
  <c r="AE68" i="4"/>
  <c r="BI68" i="4" s="1"/>
  <c r="M51" i="5" l="1"/>
  <c r="N51" i="5" s="1"/>
  <c r="J68" i="5"/>
  <c r="J77" i="5"/>
  <c r="J63" i="5"/>
  <c r="F81" i="5"/>
  <c r="J72" i="5"/>
  <c r="F90" i="5"/>
  <c r="F88" i="5"/>
  <c r="C69" i="5"/>
  <c r="E61" i="4"/>
  <c r="F82" i="5"/>
  <c r="J73" i="5"/>
  <c r="J64" i="5"/>
  <c r="C60" i="5"/>
  <c r="F79" i="5"/>
  <c r="J70" i="5"/>
  <c r="J61" i="5"/>
  <c r="F83" i="5"/>
  <c r="J74" i="5"/>
  <c r="J65" i="5"/>
  <c r="F92" i="5"/>
  <c r="F84" i="5"/>
  <c r="J75" i="5"/>
  <c r="J66" i="5"/>
  <c r="H69" i="5"/>
  <c r="I69" i="5" s="1"/>
  <c r="J62" i="5"/>
  <c r="J71" i="5"/>
  <c r="F80" i="5"/>
  <c r="F89" i="5"/>
  <c r="J67" i="5"/>
  <c r="F94" i="5"/>
  <c r="F85" i="5"/>
  <c r="J76" i="5"/>
  <c r="BJ64" i="4"/>
  <c r="AG64" i="4"/>
  <c r="BK64" i="4" s="1"/>
  <c r="AI62" i="4"/>
  <c r="BM62" i="4" s="1"/>
  <c r="AH63" i="4"/>
  <c r="BF71" i="4"/>
  <c r="AC71" i="4"/>
  <c r="BG71" i="4" s="1"/>
  <c r="BH69" i="4"/>
  <c r="AD70" i="4" s="1"/>
  <c r="AE69" i="4"/>
  <c r="AI63" i="4" l="1"/>
  <c r="BM63" i="4" s="1"/>
  <c r="J60" i="5"/>
  <c r="A61" i="4"/>
  <c r="D78" i="5"/>
  <c r="G78" i="5"/>
  <c r="F78" i="5"/>
  <c r="E62" i="4"/>
  <c r="F87" i="5"/>
  <c r="G87" i="5"/>
  <c r="H87" i="5" s="1"/>
  <c r="J69" i="5"/>
  <c r="BL63" i="4"/>
  <c r="AH64" i="4" s="1"/>
  <c r="AF65" i="4"/>
  <c r="BH70" i="4"/>
  <c r="AD71" i="4" s="1"/>
  <c r="BI69" i="4"/>
  <c r="AE70" i="4" s="1"/>
  <c r="E63" i="4" l="1"/>
  <c r="A63" i="4" s="1"/>
  <c r="K69" i="5"/>
  <c r="M69" i="5"/>
  <c r="K60" i="5"/>
  <c r="M60" i="5"/>
  <c r="BJ65" i="4"/>
  <c r="AF66" i="4" s="1"/>
  <c r="H78" i="5"/>
  <c r="I78" i="5" s="1"/>
  <c r="C79" i="5"/>
  <c r="C83" i="5"/>
  <c r="C81" i="5"/>
  <c r="C82" i="5"/>
  <c r="C84" i="5"/>
  <c r="C85" i="5"/>
  <c r="C86" i="5"/>
  <c r="C80" i="5"/>
  <c r="A62" i="4"/>
  <c r="D87" i="5"/>
  <c r="AG65" i="4"/>
  <c r="BK65" i="4" s="1"/>
  <c r="BL64" i="4"/>
  <c r="AI64" i="4"/>
  <c r="BM64" i="4" s="1"/>
  <c r="BI70" i="4"/>
  <c r="AE71" i="4" s="1"/>
  <c r="BH71" i="4"/>
  <c r="D96" i="5" l="1"/>
  <c r="C104" i="5" s="1"/>
  <c r="N69" i="5"/>
  <c r="J80" i="5"/>
  <c r="F98" i="5"/>
  <c r="F100" i="5"/>
  <c r="J82" i="5"/>
  <c r="N60" i="5"/>
  <c r="J86" i="5"/>
  <c r="F99" i="5"/>
  <c r="J81" i="5"/>
  <c r="C97" i="5"/>
  <c r="C100" i="5"/>
  <c r="F118" i="5" s="1"/>
  <c r="C103" i="5"/>
  <c r="C102" i="5"/>
  <c r="F120" i="5" s="1"/>
  <c r="C90" i="5"/>
  <c r="C91" i="5"/>
  <c r="F109" i="5" s="1"/>
  <c r="C94" i="5"/>
  <c r="J94" i="5" s="1"/>
  <c r="C89" i="5"/>
  <c r="C93" i="5"/>
  <c r="F111" i="5" s="1"/>
  <c r="C88" i="5"/>
  <c r="C92" i="5"/>
  <c r="J92" i="5" s="1"/>
  <c r="C95" i="5"/>
  <c r="J83" i="5"/>
  <c r="F101" i="5"/>
  <c r="F110" i="5"/>
  <c r="I87" i="5"/>
  <c r="BJ66" i="4"/>
  <c r="AF67" i="4" s="1"/>
  <c r="J85" i="5"/>
  <c r="F121" i="5"/>
  <c r="F103" i="5"/>
  <c r="F102" i="5"/>
  <c r="J84" i="5"/>
  <c r="J79" i="5"/>
  <c r="F97" i="5"/>
  <c r="C78" i="5"/>
  <c r="J88" i="5"/>
  <c r="E64" i="4"/>
  <c r="AH65" i="4"/>
  <c r="BL65" i="4" s="1"/>
  <c r="AG66" i="4"/>
  <c r="AH66" i="4" s="1"/>
  <c r="BL66" i="4" s="1"/>
  <c r="BI71" i="4"/>
  <c r="J97" i="5" l="1"/>
  <c r="J93" i="5"/>
  <c r="C101" i="5"/>
  <c r="J101" i="5" s="1"/>
  <c r="C98" i="5"/>
  <c r="F116" i="5" s="1"/>
  <c r="J78" i="5"/>
  <c r="J102" i="5"/>
  <c r="C99" i="5"/>
  <c r="J99" i="5" s="1"/>
  <c r="F112" i="5"/>
  <c r="F96" i="5"/>
  <c r="G96" i="5"/>
  <c r="J103" i="5"/>
  <c r="F115" i="5"/>
  <c r="F122" i="5"/>
  <c r="J100" i="5"/>
  <c r="J89" i="5"/>
  <c r="BJ67" i="4"/>
  <c r="AF68" i="4" s="1"/>
  <c r="K78" i="5"/>
  <c r="M78" i="5"/>
  <c r="J104" i="5"/>
  <c r="F117" i="5"/>
  <c r="J95" i="5"/>
  <c r="D105" i="5"/>
  <c r="A64" i="4"/>
  <c r="F108" i="5"/>
  <c r="F113" i="5"/>
  <c r="J91" i="5"/>
  <c r="F106" i="5"/>
  <c r="C87" i="5"/>
  <c r="J90" i="5"/>
  <c r="F107" i="5"/>
  <c r="AI65" i="4"/>
  <c r="BM65" i="4" s="1"/>
  <c r="AI66" i="4" s="1"/>
  <c r="BM66" i="4" s="1"/>
  <c r="BK66" i="4"/>
  <c r="AG67" i="4" s="1"/>
  <c r="F119" i="5" l="1"/>
  <c r="F114" i="5" s="1"/>
  <c r="C96" i="5"/>
  <c r="J98" i="5"/>
  <c r="J96" i="5" s="1"/>
  <c r="K96" i="5" s="1"/>
  <c r="J87" i="5"/>
  <c r="K87" i="5" s="1"/>
  <c r="N78" i="5"/>
  <c r="BK67" i="4"/>
  <c r="G114" i="5"/>
  <c r="E66" i="4"/>
  <c r="E65" i="4"/>
  <c r="H96" i="5"/>
  <c r="I96" i="5" s="1"/>
  <c r="M96" i="5"/>
  <c r="N96" i="5" s="1"/>
  <c r="BJ68" i="4"/>
  <c r="AF69" i="4" s="1"/>
  <c r="G105" i="5"/>
  <c r="H105" i="5" s="1"/>
  <c r="I105" i="5" s="1"/>
  <c r="F105" i="5"/>
  <c r="C110" i="5"/>
  <c r="C108" i="5"/>
  <c r="C113" i="5"/>
  <c r="C106" i="5"/>
  <c r="C107" i="5"/>
  <c r="C111" i="5"/>
  <c r="C109" i="5"/>
  <c r="C112" i="5"/>
  <c r="AH67" i="4"/>
  <c r="BL67" i="4" s="1"/>
  <c r="AG68" i="4"/>
  <c r="BK68" i="4" s="1"/>
  <c r="H114" i="5" l="1"/>
  <c r="M87" i="5"/>
  <c r="N87" i="5" s="1"/>
  <c r="AG69" i="4"/>
  <c r="BK69" i="4" s="1"/>
  <c r="F127" i="5"/>
  <c r="J109" i="5"/>
  <c r="J113" i="5"/>
  <c r="F131" i="5"/>
  <c r="D114" i="5"/>
  <c r="A65" i="4"/>
  <c r="D123" i="5"/>
  <c r="A66" i="4"/>
  <c r="I114" i="5"/>
  <c r="F129" i="5"/>
  <c r="J111" i="5"/>
  <c r="J108" i="5"/>
  <c r="F126" i="5"/>
  <c r="BJ69" i="4"/>
  <c r="AF70" i="4" s="1"/>
  <c r="F125" i="5"/>
  <c r="J107" i="5"/>
  <c r="F128" i="5"/>
  <c r="J110" i="5"/>
  <c r="J112" i="5"/>
  <c r="F130" i="5"/>
  <c r="C105" i="5"/>
  <c r="F124" i="5"/>
  <c r="J106" i="5"/>
  <c r="AH68" i="4"/>
  <c r="BL68" i="4" s="1"/>
  <c r="AI67" i="4"/>
  <c r="BM67" i="4" s="1"/>
  <c r="AH69" i="4" l="1"/>
  <c r="BL69" i="4" s="1"/>
  <c r="AG70" i="4"/>
  <c r="BK70" i="4" s="1"/>
  <c r="BJ70" i="4"/>
  <c r="AF71" i="4" s="1"/>
  <c r="J105" i="5"/>
  <c r="K105" i="5" s="1"/>
  <c r="F123" i="5"/>
  <c r="G123" i="5"/>
  <c r="E67" i="4"/>
  <c r="C125" i="5"/>
  <c r="C130" i="5"/>
  <c r="C126" i="5"/>
  <c r="C128" i="5"/>
  <c r="C131" i="5"/>
  <c r="C124" i="5"/>
  <c r="C129" i="5"/>
  <c r="F147" i="5" s="1"/>
  <c r="C127" i="5"/>
  <c r="F145" i="5" s="1"/>
  <c r="C118" i="5"/>
  <c r="C116" i="5"/>
  <c r="C120" i="5"/>
  <c r="C117" i="5"/>
  <c r="C121" i="5"/>
  <c r="C122" i="5"/>
  <c r="C119" i="5"/>
  <c r="C115" i="5"/>
  <c r="AI68" i="4"/>
  <c r="BM68" i="4" s="1"/>
  <c r="AI69" i="4" s="1"/>
  <c r="BM69" i="4" s="1"/>
  <c r="AH70" i="4" l="1"/>
  <c r="BL70" i="4" s="1"/>
  <c r="M105" i="5"/>
  <c r="N105" i="5" s="1"/>
  <c r="J121" i="5"/>
  <c r="F148" i="5"/>
  <c r="F139" i="5"/>
  <c r="J130" i="5"/>
  <c r="F136" i="5"/>
  <c r="J118" i="5"/>
  <c r="J127" i="5"/>
  <c r="J115" i="5"/>
  <c r="F133" i="5"/>
  <c r="C114" i="5"/>
  <c r="J124" i="5"/>
  <c r="F135" i="5"/>
  <c r="F144" i="5"/>
  <c r="J126" i="5"/>
  <c r="J117" i="5"/>
  <c r="D132" i="5"/>
  <c r="A67" i="4"/>
  <c r="E68" i="4"/>
  <c r="J119" i="5"/>
  <c r="J128" i="5"/>
  <c r="F146" i="5"/>
  <c r="F137" i="5"/>
  <c r="F138" i="5"/>
  <c r="J120" i="5"/>
  <c r="J129" i="5"/>
  <c r="BJ71" i="4"/>
  <c r="F140" i="5"/>
  <c r="F149" i="5"/>
  <c r="J131" i="5"/>
  <c r="J122" i="5"/>
  <c r="F143" i="5"/>
  <c r="J116" i="5"/>
  <c r="F134" i="5"/>
  <c r="J125" i="5"/>
  <c r="F142" i="5"/>
  <c r="C123" i="5"/>
  <c r="H123" i="5"/>
  <c r="I123" i="5" s="1"/>
  <c r="E69" i="4"/>
  <c r="AI70" i="4"/>
  <c r="BM70" i="4" s="1"/>
  <c r="AG71" i="4"/>
  <c r="BK71" i="4" s="1"/>
  <c r="A69" i="4" l="1"/>
  <c r="D150" i="5"/>
  <c r="G141" i="5"/>
  <c r="H141" i="5" s="1"/>
  <c r="F141" i="5"/>
  <c r="C134" i="5"/>
  <c r="C133" i="5"/>
  <c r="C139" i="5"/>
  <c r="C140" i="5"/>
  <c r="C135" i="5"/>
  <c r="C137" i="5"/>
  <c r="C136" i="5"/>
  <c r="C138" i="5"/>
  <c r="E70" i="4"/>
  <c r="F132" i="5"/>
  <c r="G132" i="5"/>
  <c r="D141" i="5"/>
  <c r="A68" i="4"/>
  <c r="J114" i="5"/>
  <c r="J123" i="5"/>
  <c r="AH71" i="4"/>
  <c r="BL71" i="4" s="1"/>
  <c r="K123" i="5" l="1"/>
  <c r="M123" i="5"/>
  <c r="C149" i="5"/>
  <c r="J149" i="5" s="1"/>
  <c r="C145" i="5"/>
  <c r="F163" i="5" s="1"/>
  <c r="C143" i="5"/>
  <c r="F161" i="5" s="1"/>
  <c r="C147" i="5"/>
  <c r="F165" i="5" s="1"/>
  <c r="C148" i="5"/>
  <c r="J148" i="5" s="1"/>
  <c r="C142" i="5"/>
  <c r="C144" i="5"/>
  <c r="J144" i="5" s="1"/>
  <c r="C146" i="5"/>
  <c r="F164" i="5" s="1"/>
  <c r="F156" i="5"/>
  <c r="J138" i="5"/>
  <c r="J140" i="5"/>
  <c r="F158" i="5"/>
  <c r="H132" i="5"/>
  <c r="I132" i="5" s="1"/>
  <c r="F154" i="5"/>
  <c r="J136" i="5"/>
  <c r="F157" i="5"/>
  <c r="J139" i="5"/>
  <c r="I141" i="5"/>
  <c r="K114" i="5"/>
  <c r="M114" i="5"/>
  <c r="J137" i="5"/>
  <c r="F155" i="5"/>
  <c r="J146" i="5"/>
  <c r="C132" i="5"/>
  <c r="F151" i="5"/>
  <c r="J133" i="5"/>
  <c r="C152" i="5"/>
  <c r="J152" i="5" s="1"/>
  <c r="C153" i="5"/>
  <c r="C151" i="5"/>
  <c r="C154" i="5"/>
  <c r="F172" i="5" s="1"/>
  <c r="C155" i="5"/>
  <c r="J155" i="5" s="1"/>
  <c r="C156" i="5"/>
  <c r="F174" i="5" s="1"/>
  <c r="C157" i="5"/>
  <c r="C158" i="5"/>
  <c r="A70" i="4"/>
  <c r="D159" i="5"/>
  <c r="J135" i="5"/>
  <c r="F153" i="5"/>
  <c r="J134" i="5"/>
  <c r="F152" i="5"/>
  <c r="J143" i="5"/>
  <c r="AI71" i="4"/>
  <c r="BM71" i="4" s="1"/>
  <c r="BM72" i="4" s="1"/>
  <c r="J147" i="5" l="1"/>
  <c r="F176" i="5"/>
  <c r="F167" i="5"/>
  <c r="J145" i="5"/>
  <c r="F162" i="5"/>
  <c r="F166" i="5"/>
  <c r="F170" i="5"/>
  <c r="N123" i="5"/>
  <c r="J151" i="5"/>
  <c r="N114" i="5"/>
  <c r="F173" i="5"/>
  <c r="J132" i="5"/>
  <c r="J142" i="5"/>
  <c r="F160" i="5"/>
  <c r="C141" i="5"/>
  <c r="C161" i="5"/>
  <c r="J161" i="5" s="1"/>
  <c r="C166" i="5"/>
  <c r="J166" i="5" s="1"/>
  <c r="C167" i="5"/>
  <c r="J167" i="5" s="1"/>
  <c r="C162" i="5"/>
  <c r="J162" i="5" s="1"/>
  <c r="C164" i="5"/>
  <c r="J164" i="5" s="1"/>
  <c r="C165" i="5"/>
  <c r="J165" i="5" s="1"/>
  <c r="C160" i="5"/>
  <c r="C163" i="5"/>
  <c r="J163" i="5" s="1"/>
  <c r="F171" i="5"/>
  <c r="J153" i="5"/>
  <c r="F150" i="5"/>
  <c r="G150" i="5"/>
  <c r="F175" i="5"/>
  <c r="J154" i="5"/>
  <c r="J158" i="5"/>
  <c r="J156" i="5"/>
  <c r="C150" i="5"/>
  <c r="F169" i="5"/>
  <c r="J160" i="5"/>
  <c r="J157" i="5"/>
  <c r="E71" i="4"/>
  <c r="J141" i="5" l="1"/>
  <c r="K141" i="5" s="1"/>
  <c r="J150" i="5"/>
  <c r="K150" i="5" s="1"/>
  <c r="J159" i="5"/>
  <c r="K159" i="5" s="1"/>
  <c r="C159" i="5"/>
  <c r="F159" i="5"/>
  <c r="G159" i="5"/>
  <c r="H159" i="5" s="1"/>
  <c r="I159" i="5" s="1"/>
  <c r="K132" i="5"/>
  <c r="M132" i="5"/>
  <c r="D168" i="5"/>
  <c r="A71" i="4"/>
  <c r="A72" i="4" s="1"/>
  <c r="G168" i="5"/>
  <c r="H168" i="5" s="1"/>
  <c r="F168" i="5"/>
  <c r="M141" i="5"/>
  <c r="H150" i="5"/>
  <c r="I150" i="5" s="1"/>
  <c r="M159" i="5" l="1"/>
  <c r="N159" i="5" s="1"/>
  <c r="N132" i="5"/>
  <c r="M150" i="5"/>
  <c r="N150" i="5" s="1"/>
  <c r="I168" i="5"/>
  <c r="N141" i="5"/>
  <c r="C170" i="5"/>
  <c r="J170" i="5" s="1"/>
  <c r="C171" i="5"/>
  <c r="J171" i="5" s="1"/>
  <c r="C176" i="5"/>
  <c r="J176" i="5" s="1"/>
  <c r="C174" i="5"/>
  <c r="J174" i="5" s="1"/>
  <c r="C169" i="5"/>
  <c r="C173" i="5"/>
  <c r="J173" i="5" s="1"/>
  <c r="C175" i="5"/>
  <c r="J175" i="5" s="1"/>
  <c r="C172" i="5"/>
  <c r="J172" i="5" s="1"/>
  <c r="C168" i="5" l="1"/>
  <c r="J169" i="5"/>
  <c r="J168" i="5" s="1"/>
  <c r="K168" i="5" l="1"/>
  <c r="M168" i="5"/>
  <c r="N168" i="5" s="1"/>
</calcChain>
</file>

<file path=xl/sharedStrings.xml><?xml version="1.0" encoding="utf-8"?>
<sst xmlns="http://schemas.openxmlformats.org/spreadsheetml/2006/main" count="138" uniqueCount="84">
  <si>
    <t>V</t>
  </si>
  <si>
    <t>Тип проекта</t>
  </si>
  <si>
    <t>Капитализация</t>
  </si>
  <si>
    <t>Описание</t>
  </si>
  <si>
    <t>теплицы</t>
  </si>
  <si>
    <t>грибы и овощехранилище в скале</t>
  </si>
  <si>
    <t>рыборазводники</t>
  </si>
  <si>
    <t>F</t>
  </si>
  <si>
    <t xml:space="preserve">I </t>
  </si>
  <si>
    <t>общая инфраструктура</t>
  </si>
  <si>
    <t>переработка продукции</t>
  </si>
  <si>
    <t>другие проекты</t>
  </si>
  <si>
    <t>нет</t>
  </si>
  <si>
    <t>да</t>
  </si>
  <si>
    <t>таможенная инфраструктура</t>
  </si>
  <si>
    <t>АЛГОРИТМ ЧЕКАНКИ</t>
  </si>
  <si>
    <t>-</t>
  </si>
  <si>
    <t>Сумма, $</t>
  </si>
  <si>
    <t>ПЛАН ПРОДАЖ ТОКЕНОВ</t>
  </si>
  <si>
    <t>УСЛОВИЯ ПО ПРОЕКТАМ</t>
  </si>
  <si>
    <t>2 кв. 2022</t>
  </si>
  <si>
    <t>3 кв. 2022</t>
  </si>
  <si>
    <t>4 кв. 2022</t>
  </si>
  <si>
    <t>1 кв. 2023</t>
  </si>
  <si>
    <t>2 кв. 2023</t>
  </si>
  <si>
    <t>3 кв. 2023</t>
  </si>
  <si>
    <t>4 кв. 2023</t>
  </si>
  <si>
    <t>1 кв. 2024</t>
  </si>
  <si>
    <t>2 кв. 2024</t>
  </si>
  <si>
    <t>3 кв. 2024</t>
  </si>
  <si>
    <t>Период продаж</t>
  </si>
  <si>
    <t>4 кв. 2024</t>
  </si>
  <si>
    <t>1 кв. 2025</t>
  </si>
  <si>
    <t>2 кв. 2025</t>
  </si>
  <si>
    <t>3 кв. 2025</t>
  </si>
  <si>
    <t>4 кв. 2025</t>
  </si>
  <si>
    <t>1 кв. 2026</t>
  </si>
  <si>
    <t>2 кв. 2026</t>
  </si>
  <si>
    <t>3 кв. 2026</t>
  </si>
  <si>
    <t>4 кв. 2026</t>
  </si>
  <si>
    <t>Общее количество проданных токенов</t>
  </si>
  <si>
    <t>Период</t>
  </si>
  <si>
    <t>Типы проектов</t>
  </si>
  <si>
    <t>шт.</t>
  </si>
  <si>
    <t>Продано токенов</t>
  </si>
  <si>
    <t>ВСЕГО:</t>
  </si>
  <si>
    <t>овощи открытого грунта</t>
  </si>
  <si>
    <t>В разрезе проектов</t>
  </si>
  <si>
    <t>По всем проектам</t>
  </si>
  <si>
    <t>Средняя цена 1 токена, $</t>
  </si>
  <si>
    <t>В текущем квартале</t>
  </si>
  <si>
    <t>G*</t>
  </si>
  <si>
    <t>M*</t>
  </si>
  <si>
    <t>R*</t>
  </si>
  <si>
    <t>А*</t>
  </si>
  <si>
    <t>ДОЛЯ</t>
  </si>
  <si>
    <t>пресейл (2 кв.2022)</t>
  </si>
  <si>
    <t>Продано токенов (накопительно)</t>
  </si>
  <si>
    <t>За весь период</t>
  </si>
  <si>
    <t>Цена токена, $</t>
  </si>
  <si>
    <t>Этапы чеканки</t>
  </si>
  <si>
    <t>2 кв. 2022 (пресейл)</t>
  </si>
  <si>
    <t>$ (факт)</t>
  </si>
  <si>
    <t>Max количество токенов</t>
  </si>
  <si>
    <t>Средняя цена (номинал), $/токен</t>
  </si>
  <si>
    <t>через 1 кв</t>
  </si>
  <si>
    <t>С*</t>
  </si>
  <si>
    <t>когда начинает начисляться доход</t>
  </si>
  <si>
    <t>через 1 год</t>
  </si>
  <si>
    <t>2 года - 0, потом 50% год от всего с капитализацией</t>
  </si>
  <si>
    <t>через 2 года</t>
  </si>
  <si>
    <t>Фактическая средняя доходность 1 токена, % годовых</t>
  </si>
  <si>
    <t xml:space="preserve">Средняя выплата на 1 токен </t>
  </si>
  <si>
    <t>Прибыль к распределению, $</t>
  </si>
  <si>
    <t>Количество токенов, шт.</t>
  </si>
  <si>
    <t>Распределение суммы  проданных токенов в разбивке на номинальные цены, $</t>
  </si>
  <si>
    <t>Остатки сумм токенов к распределению по различным номинальным ценам, $</t>
  </si>
  <si>
    <t>Доходность, % годовых (всё время)</t>
  </si>
  <si>
    <t>Доходность, % г-х на 2-й год</t>
  </si>
  <si>
    <t>Доходность, % г-х на 3-й год</t>
  </si>
  <si>
    <t>presale</t>
  </si>
  <si>
    <t xml:space="preserve"> </t>
  </si>
  <si>
    <t>$ (по отпускной цене)</t>
  </si>
  <si>
    <t>Отпускная цена токена,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</si>
</sst>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"/>
    <numFmt numFmtId="165" formatCode="#,##0.000_ ;\-#,##0.0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charset val="204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3" fontId="0" fillId="3" borderId="6" xfId="0" applyNumberFormat="1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9" fontId="11" fillId="0" borderId="1" xfId="2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0" fillId="0" borderId="0" xfId="0" applyProtection="1"/>
    <xf numFmtId="0" fontId="5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9" fontId="5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3" fontId="5" fillId="0" borderId="7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right" vertical="center"/>
    </xf>
    <xf numFmtId="4" fontId="5" fillId="0" borderId="7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/>
    </xf>
    <xf numFmtId="0" fontId="0" fillId="0" borderId="12" xfId="0" applyBorder="1" applyAlignment="1" applyProtection="1"/>
    <xf numFmtId="0" fontId="0" fillId="0" borderId="13" xfId="0" applyBorder="1" applyAlignment="1" applyProtection="1"/>
    <xf numFmtId="0" fontId="6" fillId="0" borderId="3" xfId="0" applyFont="1" applyBorder="1" applyAlignment="1" applyProtection="1"/>
    <xf numFmtId="0" fontId="0" fillId="0" borderId="6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4" fontId="5" fillId="0" borderId="6" xfId="0" applyNumberFormat="1" applyFont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9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4" fontId="5" fillId="0" borderId="14" xfId="0" applyNumberFormat="1" applyFont="1" applyBorder="1" applyAlignment="1" applyProtection="1">
      <alignment horizontal="center" vertical="center"/>
    </xf>
    <xf numFmtId="43" fontId="6" fillId="0" borderId="0" xfId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165" fontId="6" fillId="0" borderId="1" xfId="1" applyNumberFormat="1" applyFont="1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horizontal="center" vertical="center"/>
    </xf>
    <xf numFmtId="4" fontId="0" fillId="0" borderId="8" xfId="0" applyNumberFormat="1" applyBorder="1" applyAlignment="1" applyProtection="1">
      <alignment horizontal="center" vertical="center"/>
    </xf>
    <xf numFmtId="4" fontId="0" fillId="0" borderId="2" xfId="0" applyNumberFormat="1" applyBorder="1" applyAlignment="1" applyProtection="1">
      <alignment horizontal="center" vertical="center"/>
    </xf>
    <xf numFmtId="4" fontId="0" fillId="0" borderId="9" xfId="0" applyNumberFormat="1" applyBorder="1" applyAlignment="1" applyProtection="1">
      <alignment horizontal="center" vertical="center"/>
    </xf>
    <xf numFmtId="4" fontId="0" fillId="0" borderId="14" xfId="0" applyNumberFormat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</xf>
    <xf numFmtId="4" fontId="0" fillId="0" borderId="10" xfId="0" applyNumberFormat="1" applyBorder="1" applyAlignment="1" applyProtection="1">
      <alignment horizontal="center" vertical="center"/>
    </xf>
    <xf numFmtId="4" fontId="0" fillId="0" borderId="15" xfId="0" applyNumberFormat="1" applyBorder="1" applyAlignment="1" applyProtection="1">
      <alignment horizontal="center" vertical="center"/>
    </xf>
    <xf numFmtId="4" fontId="0" fillId="0" borderId="16" xfId="0" applyNumberFormat="1" applyBorder="1" applyAlignment="1" applyProtection="1">
      <alignment horizontal="center" vertical="center"/>
    </xf>
    <xf numFmtId="43" fontId="9" fillId="0" borderId="0" xfId="0" applyNumberFormat="1" applyFont="1" applyAlignment="1" applyProtection="1">
      <alignment horizontal="center" vertical="center"/>
    </xf>
    <xf numFmtId="3" fontId="10" fillId="0" borderId="0" xfId="0" applyNumberFormat="1" applyFont="1" applyAlignment="1" applyProtection="1">
      <alignment horizontal="center" vertical="center"/>
    </xf>
    <xf numFmtId="4" fontId="13" fillId="0" borderId="0" xfId="0" applyNumberFormat="1" applyFont="1" applyProtection="1"/>
    <xf numFmtId="4" fontId="0" fillId="0" borderId="0" xfId="0" applyNumberFormat="1" applyAlignment="1" applyProtection="1">
      <alignment vertical="center"/>
    </xf>
    <xf numFmtId="9" fontId="0" fillId="0" borderId="1" xfId="2" applyFont="1" applyBorder="1" applyAlignment="1" applyProtection="1">
      <alignment horizontal="center" vertical="center"/>
      <protection locked="0"/>
    </xf>
    <xf numFmtId="9" fontId="3" fillId="5" borderId="1" xfId="0" applyNumberFormat="1" applyFont="1" applyFill="1" applyBorder="1" applyAlignment="1" applyProtection="1">
      <alignment horizontal="center" vertical="center"/>
      <protection locked="0"/>
    </xf>
    <xf numFmtId="9" fontId="8" fillId="0" borderId="1" xfId="2" applyFont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4" fontId="0" fillId="5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74"/>
  <sheetViews>
    <sheetView topLeftCell="A49" zoomScale="70" zoomScaleNormal="70" workbookViewId="0">
      <selection activeCell="C81" sqref="C81"/>
    </sheetView>
  </sheetViews>
  <sheetFormatPr defaultRowHeight="15" x14ac:dyDescent="0.25"/>
  <cols>
    <col min="1" max="1" width="18.5703125" style="39" customWidth="1"/>
    <col min="2" max="2" width="19.28515625" style="42" customWidth="1"/>
    <col min="3" max="3" width="16.42578125" style="42" customWidth="1"/>
    <col min="4" max="4" width="16.140625" style="42" customWidth="1"/>
    <col min="5" max="5" width="16.42578125" style="42" customWidth="1"/>
    <col min="6" max="6" width="14.85546875" style="42" customWidth="1"/>
    <col min="7" max="7" width="16.140625" style="42" customWidth="1"/>
    <col min="8" max="8" width="13.42578125" style="42" customWidth="1"/>
    <col min="9" max="10" width="13" style="39" customWidth="1"/>
    <col min="11" max="49" width="12.140625" style="39" customWidth="1"/>
    <col min="50" max="50" width="12" style="39" bestFit="1" customWidth="1"/>
    <col min="51" max="64" width="10.85546875" style="39" bestFit="1" customWidth="1"/>
    <col min="65" max="65" width="12" style="39" bestFit="1" customWidth="1"/>
    <col min="66" max="66" width="9.140625" style="39"/>
  </cols>
  <sheetData>
    <row r="2" spans="2:10" x14ac:dyDescent="0.25">
      <c r="B2" s="40" t="s">
        <v>19</v>
      </c>
      <c r="C2" s="41"/>
    </row>
    <row r="3" spans="2:10" ht="45" customHeight="1" x14ac:dyDescent="0.25">
      <c r="B3" s="43" t="s">
        <v>1</v>
      </c>
      <c r="C3" s="43" t="s">
        <v>3</v>
      </c>
      <c r="D3" s="43" t="s">
        <v>2</v>
      </c>
      <c r="E3" s="44" t="s">
        <v>77</v>
      </c>
      <c r="F3" s="44" t="s">
        <v>78</v>
      </c>
      <c r="G3" s="44" t="s">
        <v>79</v>
      </c>
      <c r="H3" s="43" t="s">
        <v>55</v>
      </c>
      <c r="I3" s="44" t="s">
        <v>67</v>
      </c>
      <c r="J3" s="42"/>
    </row>
    <row r="4" spans="2:10" ht="18" customHeight="1" x14ac:dyDescent="0.25">
      <c r="B4" s="45" t="s">
        <v>0</v>
      </c>
      <c r="C4" s="46" t="s">
        <v>46</v>
      </c>
      <c r="D4" s="47" t="s">
        <v>12</v>
      </c>
      <c r="E4" s="94">
        <v>2</v>
      </c>
      <c r="F4" s="94" t="s">
        <v>16</v>
      </c>
      <c r="G4" s="94" t="s">
        <v>16</v>
      </c>
      <c r="H4" s="95">
        <v>0.3</v>
      </c>
      <c r="I4" s="46" t="s">
        <v>65</v>
      </c>
      <c r="J4" s="42"/>
    </row>
    <row r="5" spans="2:10" ht="19.5" customHeight="1" x14ac:dyDescent="0.25">
      <c r="B5" s="48" t="s">
        <v>51</v>
      </c>
      <c r="C5" s="46" t="s">
        <v>4</v>
      </c>
      <c r="D5" s="43" t="s">
        <v>13</v>
      </c>
      <c r="E5" s="94">
        <v>1</v>
      </c>
      <c r="F5" s="94" t="s">
        <v>16</v>
      </c>
      <c r="G5" s="94" t="s">
        <v>16</v>
      </c>
      <c r="H5" s="95">
        <v>0.25</v>
      </c>
      <c r="I5" s="46" t="s">
        <v>65</v>
      </c>
      <c r="J5" s="42"/>
    </row>
    <row r="6" spans="2:10" ht="19.5" customHeight="1" x14ac:dyDescent="0.25">
      <c r="B6" s="48" t="s">
        <v>52</v>
      </c>
      <c r="C6" s="46" t="s">
        <v>5</v>
      </c>
      <c r="D6" s="43" t="s">
        <v>13</v>
      </c>
      <c r="E6" s="94" t="s">
        <v>16</v>
      </c>
      <c r="F6" s="94">
        <v>2</v>
      </c>
      <c r="G6" s="94" t="s">
        <v>16</v>
      </c>
      <c r="H6" s="95">
        <v>0.15</v>
      </c>
      <c r="I6" s="46" t="s">
        <v>68</v>
      </c>
      <c r="J6" s="42"/>
    </row>
    <row r="7" spans="2:10" ht="16.5" customHeight="1" x14ac:dyDescent="0.25">
      <c r="B7" s="47" t="s">
        <v>7</v>
      </c>
      <c r="C7" s="46" t="s">
        <v>6</v>
      </c>
      <c r="D7" s="47" t="s">
        <v>12</v>
      </c>
      <c r="E7" s="94">
        <v>2</v>
      </c>
      <c r="F7" s="94" t="s">
        <v>16</v>
      </c>
      <c r="G7" s="94" t="s">
        <v>16</v>
      </c>
      <c r="H7" s="95">
        <v>0.05</v>
      </c>
      <c r="I7" s="46" t="s">
        <v>65</v>
      </c>
      <c r="J7" s="42"/>
    </row>
    <row r="8" spans="2:10" ht="16.5" customHeight="1" x14ac:dyDescent="0.25">
      <c r="B8" s="48" t="s">
        <v>66</v>
      </c>
      <c r="C8" s="46" t="s">
        <v>14</v>
      </c>
      <c r="D8" s="43" t="s">
        <v>13</v>
      </c>
      <c r="E8" s="94">
        <v>0.5</v>
      </c>
      <c r="F8" s="94" t="s">
        <v>16</v>
      </c>
      <c r="G8" s="94" t="s">
        <v>16</v>
      </c>
      <c r="H8" s="95">
        <v>0.05</v>
      </c>
      <c r="I8" s="46" t="s">
        <v>65</v>
      </c>
      <c r="J8" s="42"/>
    </row>
    <row r="9" spans="2:10" x14ac:dyDescent="0.25">
      <c r="B9" s="47" t="s">
        <v>8</v>
      </c>
      <c r="C9" s="46" t="s">
        <v>9</v>
      </c>
      <c r="D9" s="47" t="s">
        <v>12</v>
      </c>
      <c r="E9" s="94">
        <v>0</v>
      </c>
      <c r="F9" s="94" t="s">
        <v>16</v>
      </c>
      <c r="G9" s="94" t="s">
        <v>16</v>
      </c>
      <c r="H9" s="95">
        <v>0.05</v>
      </c>
      <c r="I9" s="46" t="s">
        <v>65</v>
      </c>
      <c r="J9" s="42"/>
    </row>
    <row r="10" spans="2:10" ht="18.75" customHeight="1" x14ac:dyDescent="0.25">
      <c r="B10" s="48" t="s">
        <v>53</v>
      </c>
      <c r="C10" s="46" t="s">
        <v>10</v>
      </c>
      <c r="D10" s="43" t="s">
        <v>13</v>
      </c>
      <c r="E10" s="94">
        <v>0.5</v>
      </c>
      <c r="F10" s="94" t="s">
        <v>16</v>
      </c>
      <c r="G10" s="94" t="s">
        <v>16</v>
      </c>
      <c r="H10" s="95">
        <v>0.1</v>
      </c>
      <c r="I10" s="46" t="s">
        <v>65</v>
      </c>
      <c r="J10" s="42"/>
    </row>
    <row r="11" spans="2:10" x14ac:dyDescent="0.25">
      <c r="B11" s="48" t="s">
        <v>54</v>
      </c>
      <c r="C11" s="46" t="s">
        <v>11</v>
      </c>
      <c r="D11" s="43" t="s">
        <v>13</v>
      </c>
      <c r="E11" s="96" t="s">
        <v>16</v>
      </c>
      <c r="F11" s="96" t="s">
        <v>16</v>
      </c>
      <c r="G11" s="96">
        <v>0.5</v>
      </c>
      <c r="H11" s="95">
        <v>0.05</v>
      </c>
      <c r="I11" s="46" t="s">
        <v>70</v>
      </c>
      <c r="J11" s="49" t="s">
        <v>69</v>
      </c>
    </row>
    <row r="12" spans="2:10" x14ac:dyDescent="0.25">
      <c r="B12" s="50"/>
      <c r="H12" s="51">
        <f>SUM(H4:H11)</f>
        <v>1.0000000000000002</v>
      </c>
      <c r="I12" s="42"/>
      <c r="J12" s="42"/>
    </row>
    <row r="14" spans="2:10" x14ac:dyDescent="0.25">
      <c r="B14" s="40" t="s">
        <v>15</v>
      </c>
      <c r="C14" s="41"/>
    </row>
    <row r="15" spans="2:10" ht="30.75" customHeight="1" x14ac:dyDescent="0.25">
      <c r="B15" s="43" t="s">
        <v>60</v>
      </c>
      <c r="C15" s="44" t="s">
        <v>63</v>
      </c>
      <c r="D15" s="43" t="s">
        <v>59</v>
      </c>
      <c r="E15" s="43" t="s">
        <v>17</v>
      </c>
      <c r="F15" s="44" t="s">
        <v>83</v>
      </c>
    </row>
    <row r="16" spans="2:10" x14ac:dyDescent="0.25">
      <c r="B16" s="47" t="s">
        <v>56</v>
      </c>
      <c r="C16" s="97" t="s">
        <v>16</v>
      </c>
      <c r="D16" s="98">
        <v>0.03</v>
      </c>
      <c r="E16" s="99" t="s">
        <v>16</v>
      </c>
      <c r="F16" s="98">
        <f>D17</f>
        <v>0.05</v>
      </c>
    </row>
    <row r="17" spans="1:66" x14ac:dyDescent="0.25">
      <c r="B17" s="47">
        <v>1</v>
      </c>
      <c r="C17" s="100">
        <v>10000000</v>
      </c>
      <c r="D17" s="98">
        <v>0.05</v>
      </c>
      <c r="E17" s="99">
        <f>C17*D17</f>
        <v>500000</v>
      </c>
      <c r="F17" s="98">
        <f t="shared" ref="F17:F30" si="0">D17</f>
        <v>0.05</v>
      </c>
    </row>
    <row r="18" spans="1:66" x14ac:dyDescent="0.25">
      <c r="B18" s="47">
        <v>2</v>
      </c>
      <c r="C18" s="100">
        <v>5000000</v>
      </c>
      <c r="D18" s="98">
        <v>0.1</v>
      </c>
      <c r="E18" s="99">
        <f>C18*D18</f>
        <v>500000</v>
      </c>
      <c r="F18" s="98">
        <f t="shared" si="0"/>
        <v>0.1</v>
      </c>
    </row>
    <row r="19" spans="1:66" x14ac:dyDescent="0.25">
      <c r="B19" s="47">
        <v>3</v>
      </c>
      <c r="C19" s="100">
        <v>2500000</v>
      </c>
      <c r="D19" s="98">
        <v>0.2</v>
      </c>
      <c r="E19" s="99">
        <f>C19*D19</f>
        <v>500000</v>
      </c>
      <c r="F19" s="98">
        <f t="shared" si="0"/>
        <v>0.2</v>
      </c>
    </row>
    <row r="20" spans="1:66" x14ac:dyDescent="0.25">
      <c r="B20" s="47">
        <v>4</v>
      </c>
      <c r="C20" s="100">
        <v>1250000</v>
      </c>
      <c r="D20" s="98">
        <v>0.4</v>
      </c>
      <c r="E20" s="99">
        <f>C20*D20</f>
        <v>500000</v>
      </c>
      <c r="F20" s="98">
        <f t="shared" si="0"/>
        <v>0.4</v>
      </c>
    </row>
    <row r="21" spans="1:66" x14ac:dyDescent="0.25">
      <c r="B21" s="47">
        <v>5</v>
      </c>
      <c r="C21" s="100">
        <v>1000000</v>
      </c>
      <c r="D21" s="98">
        <v>0.5</v>
      </c>
      <c r="E21" s="99">
        <f t="shared" ref="E21:E22" si="1">C21*D21</f>
        <v>500000</v>
      </c>
      <c r="F21" s="98">
        <f t="shared" si="0"/>
        <v>0.5</v>
      </c>
    </row>
    <row r="22" spans="1:66" x14ac:dyDescent="0.25">
      <c r="B22" s="53">
        <v>6</v>
      </c>
      <c r="C22" s="100">
        <v>625000</v>
      </c>
      <c r="D22" s="98">
        <v>0.8</v>
      </c>
      <c r="E22" s="99">
        <f t="shared" si="1"/>
        <v>500000</v>
      </c>
      <c r="F22" s="98">
        <f t="shared" si="0"/>
        <v>0.8</v>
      </c>
    </row>
    <row r="23" spans="1:66" x14ac:dyDescent="0.25">
      <c r="B23" s="47">
        <v>7</v>
      </c>
      <c r="C23" s="100">
        <f>E23/D23</f>
        <v>555555.5555555555</v>
      </c>
      <c r="D23" s="98">
        <f>D22+0.1</f>
        <v>0.9</v>
      </c>
      <c r="E23" s="99">
        <v>500000</v>
      </c>
      <c r="F23" s="98">
        <f t="shared" si="0"/>
        <v>0.9</v>
      </c>
    </row>
    <row r="24" spans="1:66" x14ac:dyDescent="0.25">
      <c r="B24" s="47">
        <v>8</v>
      </c>
      <c r="C24" s="100">
        <f t="shared" ref="C24:C30" si="2">E24/D24</f>
        <v>500000</v>
      </c>
      <c r="D24" s="98">
        <f t="shared" ref="D24:D46" si="3">D23+0.1</f>
        <v>1</v>
      </c>
      <c r="E24" s="99">
        <v>500000</v>
      </c>
      <c r="F24" s="98">
        <f t="shared" si="0"/>
        <v>1</v>
      </c>
    </row>
    <row r="25" spans="1:66" x14ac:dyDescent="0.25">
      <c r="B25" s="47">
        <v>9</v>
      </c>
      <c r="C25" s="100">
        <f t="shared" si="2"/>
        <v>454545.45454545453</v>
      </c>
      <c r="D25" s="98">
        <f t="shared" si="3"/>
        <v>1.1000000000000001</v>
      </c>
      <c r="E25" s="99">
        <v>500000</v>
      </c>
      <c r="F25" s="98">
        <f t="shared" si="0"/>
        <v>1.1000000000000001</v>
      </c>
    </row>
    <row r="26" spans="1:66" x14ac:dyDescent="0.25">
      <c r="B26" s="47">
        <v>10</v>
      </c>
      <c r="C26" s="100">
        <f t="shared" si="2"/>
        <v>416666.66666666663</v>
      </c>
      <c r="D26" s="98">
        <f t="shared" si="3"/>
        <v>1.2000000000000002</v>
      </c>
      <c r="E26" s="99">
        <v>500000</v>
      </c>
      <c r="F26" s="98">
        <f t="shared" si="0"/>
        <v>1.2000000000000002</v>
      </c>
    </row>
    <row r="27" spans="1:66" x14ac:dyDescent="0.25">
      <c r="B27" s="47">
        <v>11</v>
      </c>
      <c r="C27" s="100">
        <f t="shared" si="2"/>
        <v>384615.38461538451</v>
      </c>
      <c r="D27" s="98">
        <f t="shared" si="3"/>
        <v>1.3000000000000003</v>
      </c>
      <c r="E27" s="99">
        <v>500000</v>
      </c>
      <c r="F27" s="98">
        <f t="shared" si="0"/>
        <v>1.3000000000000003</v>
      </c>
    </row>
    <row r="28" spans="1:66" x14ac:dyDescent="0.25">
      <c r="B28" s="47">
        <v>12</v>
      </c>
      <c r="C28" s="100">
        <f t="shared" si="2"/>
        <v>357142.85714285704</v>
      </c>
      <c r="D28" s="98">
        <f t="shared" si="3"/>
        <v>1.4000000000000004</v>
      </c>
      <c r="E28" s="99">
        <v>500000</v>
      </c>
      <c r="F28" s="98">
        <f t="shared" si="0"/>
        <v>1.4000000000000004</v>
      </c>
      <c r="J28" s="39" t="s">
        <v>81</v>
      </c>
    </row>
    <row r="29" spans="1:66" s="1" customFormat="1" x14ac:dyDescent="0.25">
      <c r="A29" s="42"/>
      <c r="B29" s="47">
        <v>13</v>
      </c>
      <c r="C29" s="100">
        <f t="shared" si="2"/>
        <v>333333.33333333326</v>
      </c>
      <c r="D29" s="98">
        <f t="shared" si="3"/>
        <v>1.5000000000000004</v>
      </c>
      <c r="E29" s="99">
        <v>500000</v>
      </c>
      <c r="F29" s="98">
        <f t="shared" si="0"/>
        <v>1.5000000000000004</v>
      </c>
      <c r="G29" s="42"/>
      <c r="H29" s="42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</row>
    <row r="30" spans="1:66" s="1" customFormat="1" x14ac:dyDescent="0.25">
      <c r="A30" s="42"/>
      <c r="B30" s="47">
        <v>14</v>
      </c>
      <c r="C30" s="100">
        <f t="shared" si="2"/>
        <v>312499.99999999988</v>
      </c>
      <c r="D30" s="98">
        <f t="shared" si="3"/>
        <v>1.6000000000000005</v>
      </c>
      <c r="E30" s="99">
        <v>500000</v>
      </c>
      <c r="F30" s="98">
        <f t="shared" si="0"/>
        <v>1.6000000000000005</v>
      </c>
      <c r="G30" s="42"/>
      <c r="H30" s="42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</row>
    <row r="31" spans="1:66" s="1" customFormat="1" x14ac:dyDescent="0.25">
      <c r="A31" s="42"/>
      <c r="B31" s="47">
        <v>15</v>
      </c>
      <c r="C31" s="100">
        <f t="shared" ref="C31:C42" si="4">E31/D31</f>
        <v>294117.64705882344</v>
      </c>
      <c r="D31" s="98">
        <f t="shared" si="3"/>
        <v>1.7000000000000006</v>
      </c>
      <c r="E31" s="99">
        <v>500000</v>
      </c>
      <c r="F31" s="98">
        <f t="shared" ref="F31:F42" si="5">D31</f>
        <v>1.7000000000000006</v>
      </c>
      <c r="G31" s="42"/>
      <c r="H31" s="42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</row>
    <row r="32" spans="1:66" s="1" customFormat="1" x14ac:dyDescent="0.25">
      <c r="A32" s="42"/>
      <c r="B32" s="47">
        <v>16</v>
      </c>
      <c r="C32" s="100">
        <f t="shared" si="4"/>
        <v>277777.77777777769</v>
      </c>
      <c r="D32" s="98">
        <f t="shared" si="3"/>
        <v>1.8000000000000007</v>
      </c>
      <c r="E32" s="99">
        <v>500000</v>
      </c>
      <c r="F32" s="98">
        <f t="shared" si="5"/>
        <v>1.8000000000000007</v>
      </c>
      <c r="G32" s="42"/>
      <c r="H32" s="42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</row>
    <row r="33" spans="1:66" s="1" customFormat="1" x14ac:dyDescent="0.25">
      <c r="A33" s="42"/>
      <c r="B33" s="47">
        <v>17</v>
      </c>
      <c r="C33" s="100">
        <f t="shared" si="4"/>
        <v>263157.89473684202</v>
      </c>
      <c r="D33" s="98">
        <f t="shared" si="3"/>
        <v>1.9000000000000008</v>
      </c>
      <c r="E33" s="99">
        <v>500000</v>
      </c>
      <c r="F33" s="98">
        <f t="shared" si="5"/>
        <v>1.9000000000000008</v>
      </c>
      <c r="G33" s="42"/>
      <c r="H33" s="42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</row>
    <row r="34" spans="1:66" s="1" customFormat="1" x14ac:dyDescent="0.25">
      <c r="A34" s="42"/>
      <c r="B34" s="47">
        <v>18</v>
      </c>
      <c r="C34" s="100">
        <f t="shared" si="4"/>
        <v>249999.99999999988</v>
      </c>
      <c r="D34" s="98">
        <f t="shared" si="3"/>
        <v>2.0000000000000009</v>
      </c>
      <c r="E34" s="99">
        <v>500000</v>
      </c>
      <c r="F34" s="98">
        <f t="shared" si="5"/>
        <v>2.0000000000000009</v>
      </c>
      <c r="G34" s="42"/>
      <c r="H34" s="42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</row>
    <row r="35" spans="1:66" s="1" customFormat="1" x14ac:dyDescent="0.25">
      <c r="A35" s="42"/>
      <c r="B35" s="47">
        <v>19</v>
      </c>
      <c r="C35" s="100">
        <f t="shared" si="4"/>
        <v>238095.23809523799</v>
      </c>
      <c r="D35" s="98">
        <f t="shared" si="3"/>
        <v>2.100000000000001</v>
      </c>
      <c r="E35" s="99">
        <v>500000</v>
      </c>
      <c r="F35" s="98">
        <f t="shared" si="5"/>
        <v>2.100000000000001</v>
      </c>
      <c r="G35" s="42"/>
      <c r="H35" s="42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</row>
    <row r="36" spans="1:66" s="1" customFormat="1" x14ac:dyDescent="0.25">
      <c r="A36" s="42"/>
      <c r="B36" s="47">
        <v>20</v>
      </c>
      <c r="C36" s="100">
        <f t="shared" si="4"/>
        <v>227272.72727272715</v>
      </c>
      <c r="D36" s="98">
        <f t="shared" si="3"/>
        <v>2.2000000000000011</v>
      </c>
      <c r="E36" s="99">
        <v>500000</v>
      </c>
      <c r="F36" s="98">
        <f t="shared" si="5"/>
        <v>2.2000000000000011</v>
      </c>
      <c r="G36" s="42"/>
      <c r="H36" s="42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</row>
    <row r="37" spans="1:66" s="1" customFormat="1" x14ac:dyDescent="0.25">
      <c r="A37" s="42"/>
      <c r="B37" s="47">
        <v>21</v>
      </c>
      <c r="C37" s="100">
        <f t="shared" si="4"/>
        <v>217391.30434782596</v>
      </c>
      <c r="D37" s="98">
        <f t="shared" si="3"/>
        <v>2.3000000000000012</v>
      </c>
      <c r="E37" s="99">
        <v>500000</v>
      </c>
      <c r="F37" s="98">
        <f t="shared" si="5"/>
        <v>2.3000000000000012</v>
      </c>
      <c r="G37" s="42"/>
      <c r="H37" s="42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</row>
    <row r="38" spans="1:66" s="1" customFormat="1" x14ac:dyDescent="0.25">
      <c r="A38" s="42"/>
      <c r="B38" s="47">
        <v>22</v>
      </c>
      <c r="C38" s="100">
        <f t="shared" si="4"/>
        <v>208333.33333333323</v>
      </c>
      <c r="D38" s="98">
        <f t="shared" si="3"/>
        <v>2.4000000000000012</v>
      </c>
      <c r="E38" s="99">
        <v>500000</v>
      </c>
      <c r="F38" s="98">
        <f t="shared" si="5"/>
        <v>2.4000000000000012</v>
      </c>
      <c r="G38" s="42"/>
      <c r="H38" s="42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</row>
    <row r="39" spans="1:66" s="1" customFormat="1" x14ac:dyDescent="0.25">
      <c r="A39" s="42"/>
      <c r="B39" s="47">
        <v>23</v>
      </c>
      <c r="C39" s="100">
        <f t="shared" si="4"/>
        <v>199999.99999999988</v>
      </c>
      <c r="D39" s="98">
        <f t="shared" si="3"/>
        <v>2.5000000000000013</v>
      </c>
      <c r="E39" s="99">
        <v>500000</v>
      </c>
      <c r="F39" s="98">
        <f t="shared" si="5"/>
        <v>2.5000000000000013</v>
      </c>
      <c r="G39" s="42"/>
      <c r="H39" s="42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</row>
    <row r="40" spans="1:66" s="1" customFormat="1" x14ac:dyDescent="0.25">
      <c r="A40" s="42"/>
      <c r="B40" s="47">
        <v>24</v>
      </c>
      <c r="C40" s="100">
        <f t="shared" si="4"/>
        <v>192307.6923076922</v>
      </c>
      <c r="D40" s="98">
        <f t="shared" si="3"/>
        <v>2.6000000000000014</v>
      </c>
      <c r="E40" s="99">
        <v>500000</v>
      </c>
      <c r="F40" s="98">
        <f t="shared" si="5"/>
        <v>2.6000000000000014</v>
      </c>
      <c r="G40" s="42"/>
      <c r="H40" s="42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</row>
    <row r="41" spans="1:66" s="1" customFormat="1" x14ac:dyDescent="0.25">
      <c r="A41" s="42"/>
      <c r="B41" s="47">
        <v>25</v>
      </c>
      <c r="C41" s="100">
        <f t="shared" si="4"/>
        <v>185185.18518518508</v>
      </c>
      <c r="D41" s="98">
        <f t="shared" si="3"/>
        <v>2.7000000000000015</v>
      </c>
      <c r="E41" s="99">
        <v>500000</v>
      </c>
      <c r="F41" s="98">
        <f t="shared" si="5"/>
        <v>2.7000000000000015</v>
      </c>
      <c r="G41" s="42"/>
      <c r="H41" s="42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</row>
    <row r="42" spans="1:66" s="1" customFormat="1" x14ac:dyDescent="0.25">
      <c r="A42" s="42"/>
      <c r="B42" s="47">
        <v>26</v>
      </c>
      <c r="C42" s="100">
        <f t="shared" si="4"/>
        <v>178571.42857142846</v>
      </c>
      <c r="D42" s="98">
        <f t="shared" si="3"/>
        <v>2.8000000000000016</v>
      </c>
      <c r="E42" s="99">
        <v>500000</v>
      </c>
      <c r="F42" s="98">
        <f t="shared" si="5"/>
        <v>2.8000000000000016</v>
      </c>
      <c r="G42" s="42"/>
      <c r="H42" s="42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</row>
    <row r="43" spans="1:66" s="1" customFormat="1" x14ac:dyDescent="0.25">
      <c r="A43" s="42"/>
      <c r="B43" s="47">
        <v>27</v>
      </c>
      <c r="C43" s="100">
        <f t="shared" ref="C43:C44" si="6">E43/D43</f>
        <v>172413.79310344817</v>
      </c>
      <c r="D43" s="98">
        <f t="shared" si="3"/>
        <v>2.9000000000000017</v>
      </c>
      <c r="E43" s="99">
        <v>500000</v>
      </c>
      <c r="F43" s="98">
        <f t="shared" ref="F43:F44" si="7">D43</f>
        <v>2.9000000000000017</v>
      </c>
      <c r="G43" s="42"/>
      <c r="H43" s="42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</row>
    <row r="44" spans="1:66" s="1" customFormat="1" x14ac:dyDescent="0.25">
      <c r="A44" s="42"/>
      <c r="B44" s="47">
        <v>28</v>
      </c>
      <c r="C44" s="100">
        <f t="shared" si="6"/>
        <v>166666.66666666657</v>
      </c>
      <c r="D44" s="98">
        <f t="shared" si="3"/>
        <v>3.0000000000000018</v>
      </c>
      <c r="E44" s="99">
        <v>500000</v>
      </c>
      <c r="F44" s="98">
        <f t="shared" si="7"/>
        <v>3.0000000000000018</v>
      </c>
      <c r="G44" s="42"/>
      <c r="H44" s="42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</row>
    <row r="45" spans="1:66" s="1" customFormat="1" x14ac:dyDescent="0.25">
      <c r="A45" s="42"/>
      <c r="B45" s="47">
        <v>29</v>
      </c>
      <c r="C45" s="100">
        <f t="shared" ref="C45:C46" si="8">E45/D45</f>
        <v>161290.32258064506</v>
      </c>
      <c r="D45" s="98">
        <f t="shared" si="3"/>
        <v>3.1000000000000019</v>
      </c>
      <c r="E45" s="99">
        <v>500000</v>
      </c>
      <c r="F45" s="98">
        <f t="shared" ref="F45:F46" si="9">D45</f>
        <v>3.1000000000000019</v>
      </c>
      <c r="G45" s="42"/>
      <c r="H45" s="42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</row>
    <row r="46" spans="1:66" s="1" customFormat="1" ht="15.75" thickBot="1" x14ac:dyDescent="0.3">
      <c r="A46" s="42"/>
      <c r="B46" s="47">
        <v>30</v>
      </c>
      <c r="C46" s="100">
        <f t="shared" si="8"/>
        <v>156249.99999999991</v>
      </c>
      <c r="D46" s="98">
        <f t="shared" si="3"/>
        <v>3.200000000000002</v>
      </c>
      <c r="E46" s="99">
        <v>500000</v>
      </c>
      <c r="F46" s="98">
        <f t="shared" si="9"/>
        <v>3.200000000000002</v>
      </c>
      <c r="G46" s="42"/>
      <c r="H46" s="42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</row>
    <row r="47" spans="1:66" ht="15.75" thickBot="1" x14ac:dyDescent="0.3">
      <c r="B47" s="54" t="s">
        <v>45</v>
      </c>
      <c r="C47" s="55">
        <f>SUM(C17:C46)</f>
        <v>27078190.262896884</v>
      </c>
      <c r="D47" s="56"/>
      <c r="E47" s="57">
        <f>SUM(E17:E46)</f>
        <v>15000000</v>
      </c>
    </row>
    <row r="48" spans="1:66" x14ac:dyDescent="0.25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66" s="1" customFormat="1" x14ac:dyDescent="0.25">
      <c r="A49" s="42"/>
      <c r="B49" s="40" t="s">
        <v>18</v>
      </c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39"/>
      <c r="AK49" s="39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</row>
    <row r="50" spans="1:66" ht="15.75" thickBot="1" x14ac:dyDescent="0.3"/>
    <row r="51" spans="1:66" ht="24.75" customHeight="1" x14ac:dyDescent="0.25">
      <c r="A51" s="58" t="s">
        <v>74</v>
      </c>
      <c r="B51" s="59" t="s">
        <v>30</v>
      </c>
      <c r="C51" s="60" t="s">
        <v>40</v>
      </c>
      <c r="D51" s="61"/>
      <c r="E51" s="62" t="s">
        <v>64</v>
      </c>
      <c r="F51" s="63" t="s">
        <v>75</v>
      </c>
      <c r="G51" s="64"/>
      <c r="H51" s="64"/>
      <c r="I51" s="64"/>
      <c r="J51" s="64"/>
      <c r="K51" s="64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6" t="s">
        <v>76</v>
      </c>
      <c r="AK51" s="67"/>
      <c r="AL51" s="67"/>
      <c r="AM51" s="67"/>
      <c r="AN51" s="67"/>
      <c r="AO51" s="67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9"/>
    </row>
    <row r="52" spans="1:66" ht="18" customHeight="1" x14ac:dyDescent="0.25">
      <c r="A52" s="70"/>
      <c r="B52" s="71"/>
      <c r="C52" s="43" t="s">
        <v>62</v>
      </c>
      <c r="D52" s="72" t="s">
        <v>82</v>
      </c>
      <c r="E52" s="62"/>
      <c r="F52" s="73">
        <f>D17</f>
        <v>0.05</v>
      </c>
      <c r="G52" s="73">
        <f>D18</f>
        <v>0.1</v>
      </c>
      <c r="H52" s="73">
        <f>D19</f>
        <v>0.2</v>
      </c>
      <c r="I52" s="73">
        <f>D20</f>
        <v>0.4</v>
      </c>
      <c r="J52" s="73">
        <f>D21</f>
        <v>0.5</v>
      </c>
      <c r="K52" s="74">
        <f>D22</f>
        <v>0.8</v>
      </c>
      <c r="L52" s="74">
        <f>D23</f>
        <v>0.9</v>
      </c>
      <c r="M52" s="74">
        <f>D24</f>
        <v>1</v>
      </c>
      <c r="N52" s="74">
        <f>D25</f>
        <v>1.1000000000000001</v>
      </c>
      <c r="O52" s="74">
        <f>D26</f>
        <v>1.2000000000000002</v>
      </c>
      <c r="P52" s="74">
        <f>D27</f>
        <v>1.3000000000000003</v>
      </c>
      <c r="Q52" s="74">
        <f>D28</f>
        <v>1.4000000000000004</v>
      </c>
      <c r="R52" s="74">
        <f>D29</f>
        <v>1.5000000000000004</v>
      </c>
      <c r="S52" s="74">
        <f>D30</f>
        <v>1.6000000000000005</v>
      </c>
      <c r="T52" s="74">
        <f>D31</f>
        <v>1.7000000000000006</v>
      </c>
      <c r="U52" s="74">
        <f>D32</f>
        <v>1.8000000000000007</v>
      </c>
      <c r="V52" s="74">
        <f>D33</f>
        <v>1.9000000000000008</v>
      </c>
      <c r="W52" s="74">
        <f>D34</f>
        <v>2.0000000000000009</v>
      </c>
      <c r="X52" s="74">
        <f>D35</f>
        <v>2.100000000000001</v>
      </c>
      <c r="Y52" s="74">
        <f>D36</f>
        <v>2.2000000000000011</v>
      </c>
      <c r="Z52" s="74">
        <f>D37</f>
        <v>2.3000000000000012</v>
      </c>
      <c r="AA52" s="74">
        <f>D38</f>
        <v>2.4000000000000012</v>
      </c>
      <c r="AB52" s="74">
        <f>D39</f>
        <v>2.5000000000000013</v>
      </c>
      <c r="AC52" s="74">
        <f>D40</f>
        <v>2.6000000000000014</v>
      </c>
      <c r="AD52" s="74">
        <f>D41</f>
        <v>2.7000000000000015</v>
      </c>
      <c r="AE52" s="74">
        <f>D42</f>
        <v>2.8000000000000016</v>
      </c>
      <c r="AF52" s="74">
        <f>D43</f>
        <v>2.9000000000000017</v>
      </c>
      <c r="AG52" s="74">
        <f>D44</f>
        <v>3.0000000000000018</v>
      </c>
      <c r="AH52" s="74">
        <f>D45</f>
        <v>3.1000000000000019</v>
      </c>
      <c r="AI52" s="74">
        <f>D46</f>
        <v>3.200000000000002</v>
      </c>
      <c r="AJ52" s="75">
        <f t="shared" ref="AJ52:AO52" si="10">F52</f>
        <v>0.05</v>
      </c>
      <c r="AK52" s="76">
        <f t="shared" si="10"/>
        <v>0.1</v>
      </c>
      <c r="AL52" s="76">
        <f t="shared" si="10"/>
        <v>0.2</v>
      </c>
      <c r="AM52" s="76">
        <f t="shared" si="10"/>
        <v>0.4</v>
      </c>
      <c r="AN52" s="76">
        <f t="shared" si="10"/>
        <v>0.5</v>
      </c>
      <c r="AO52" s="76">
        <f t="shared" si="10"/>
        <v>0.8</v>
      </c>
      <c r="AP52" s="76">
        <f t="shared" ref="AP52:AW52" si="11">L52</f>
        <v>0.9</v>
      </c>
      <c r="AQ52" s="76">
        <f t="shared" si="11"/>
        <v>1</v>
      </c>
      <c r="AR52" s="76">
        <f t="shared" si="11"/>
        <v>1.1000000000000001</v>
      </c>
      <c r="AS52" s="76">
        <f t="shared" si="11"/>
        <v>1.2000000000000002</v>
      </c>
      <c r="AT52" s="76">
        <f t="shared" si="11"/>
        <v>1.3000000000000003</v>
      </c>
      <c r="AU52" s="76">
        <f t="shared" si="11"/>
        <v>1.4000000000000004</v>
      </c>
      <c r="AV52" s="76">
        <f t="shared" si="11"/>
        <v>1.5000000000000004</v>
      </c>
      <c r="AW52" s="76">
        <f t="shared" si="11"/>
        <v>1.6000000000000005</v>
      </c>
      <c r="AX52" s="76">
        <f t="shared" ref="AX52:BH52" si="12">T52</f>
        <v>1.7000000000000006</v>
      </c>
      <c r="AY52" s="76">
        <f t="shared" si="12"/>
        <v>1.8000000000000007</v>
      </c>
      <c r="AZ52" s="76">
        <f t="shared" si="12"/>
        <v>1.9000000000000008</v>
      </c>
      <c r="BA52" s="76">
        <f t="shared" si="12"/>
        <v>2.0000000000000009</v>
      </c>
      <c r="BB52" s="76">
        <f t="shared" si="12"/>
        <v>2.100000000000001</v>
      </c>
      <c r="BC52" s="76">
        <f t="shared" si="12"/>
        <v>2.2000000000000011</v>
      </c>
      <c r="BD52" s="76">
        <f t="shared" si="12"/>
        <v>2.3000000000000012</v>
      </c>
      <c r="BE52" s="76">
        <f t="shared" si="12"/>
        <v>2.4000000000000012</v>
      </c>
      <c r="BF52" s="76">
        <f t="shared" si="12"/>
        <v>2.5000000000000013</v>
      </c>
      <c r="BG52" s="76">
        <f t="shared" si="12"/>
        <v>2.6000000000000014</v>
      </c>
      <c r="BH52" s="76">
        <f t="shared" si="12"/>
        <v>2.7000000000000015</v>
      </c>
      <c r="BI52" s="76">
        <f t="shared" ref="BI52" si="13">AE52</f>
        <v>2.8000000000000016</v>
      </c>
      <c r="BJ52" s="76">
        <f t="shared" ref="BJ52" si="14">AF52</f>
        <v>2.9000000000000017</v>
      </c>
      <c r="BK52" s="76">
        <f t="shared" ref="BK52" si="15">AG52</f>
        <v>3.0000000000000018</v>
      </c>
      <c r="BL52" s="76">
        <f t="shared" ref="BL52" si="16">AH52</f>
        <v>3.1000000000000019</v>
      </c>
      <c r="BM52" s="77">
        <f t="shared" ref="BM52" si="17">AI52</f>
        <v>3.200000000000002</v>
      </c>
    </row>
    <row r="53" spans="1:66" x14ac:dyDescent="0.25">
      <c r="A53" s="78">
        <f>D53/E53</f>
        <v>12500000</v>
      </c>
      <c r="B53" s="79" t="s">
        <v>61</v>
      </c>
      <c r="C53" s="2">
        <v>450000</v>
      </c>
      <c r="D53" s="52">
        <f>C53/D16*F16</f>
        <v>750000</v>
      </c>
      <c r="E53" s="80">
        <f>D53/(F53/$F$52+G53/$G$52+H53/$H$52+I53/$I$52+J53/$J$52+K53/$K$52+L53/$L$52+M53/$M$52+N53/$N$52+O53/$O$52+P53/$P$52+Q53/$Q$52+R53/$R$52+S53/$S$52+T53/$T$52+U53/$U$52+V53/$V$52+W53/$W$52+X53/$X$52+Y53/$Y$52+Z53/$Z$52+AA53/$AA$52+AB53/$AB$52+AC53/$AC$52+AD53/$AD$52+AE53/$AE$52+AF53/$AF$52+AG53/$AG$52+AH53/$AH$52+AI53/$AI$52)</f>
        <v>0.06</v>
      </c>
      <c r="F53" s="81">
        <f>IF(D53&lt;=E17,D53,E17)</f>
        <v>500000</v>
      </c>
      <c r="G53" s="81">
        <f>IF((IF((D53-F53)&lt;=E18,(D53-F53),E18))&gt;0,(IF((D53-F53)&lt;=E18,(D53-F53),E18)),0)</f>
        <v>250000</v>
      </c>
      <c r="H53" s="81">
        <f>IF((IF((D53-F53-G53)&lt;=E19,(D53-F53-G53),E19))&gt;0,(IF((D53-F53-G53)&lt;=E19,(D53-F53-G53),E19)),0)</f>
        <v>0</v>
      </c>
      <c r="I53" s="81">
        <f>IF((IF((D53-F53-G53-H53)&lt;=E20,(D53-F53-G53-H53),E20))&gt;0,(IF((D53-F53-G53-H53)&lt;=E20,(D53-F53-G53-H53),E20)),0)</f>
        <v>0</v>
      </c>
      <c r="J53" s="81">
        <f>IF((IF((D53-F53-G53-H53-I53)&lt;=E21,(D53-F53-G53-H53-I53),E21))&gt;0,(IF((D53-F53-G53-H53-I53)&lt;=E21,(D53-F53-G53-H53-I53),E21)),0)</f>
        <v>0</v>
      </c>
      <c r="K53" s="82">
        <f>IF((IF((D53-F53-G53-H53-I53-J53)&lt;=E22,(D53-F53-G53-H53-I53-J53),E22))&gt;0,(IF((D53-F53-G53-H53-I53-J53)&lt;=E22,(D53-F53-G53-H53-I53-J53),E22)),0)</f>
        <v>0</v>
      </c>
      <c r="L53" s="82">
        <f>IF((IF((D53-F53-G53-H53-I53-J53-K53)&lt;=E23,(D53-F53-G53-H53-I53-J53-K53),E23))&gt;0,(IF((D53-F53-G53-H53-I53-J53-K53)&lt;=E23,(D53-F53-G53-H53-I53-J53-K53),E23)),0)</f>
        <v>0</v>
      </c>
      <c r="M53" s="82">
        <f>IF((IF((D53-F53-G53-H53-I53-J53-K53-L53)&lt;=E24,(D53-F53-G53-H53-I53-J53-K53-L53),E24))&gt;0,(IF((D53-F53-G53-H53-I53-J53-K53-L53)&lt;=E24,(D53-F53-G53-H53-I53-J53-K53-L53),E24)),0)</f>
        <v>0</v>
      </c>
      <c r="N53" s="82">
        <f>IF((IF((D53-F53-G53-H53-I53-J53-K53-L53-M53)&lt;=E25,(D53-F53-G53-H53-I53-J53-K53-L53-M53),E25))&gt;0,(IF((D53-F53-G53-H53-I53-J53-K53-L53-M53)&lt;=E25,(D53-F53-G53-H53-I53-J53-K53-L53-M53),E25)),0)</f>
        <v>0</v>
      </c>
      <c r="O53" s="82">
        <f>IF((IF((D53-F53-G53-H53-I53-J53-K53-L53-M53-N53)&lt;=E26,(D53-F53-G53-H53-I53-J53-K53-L53-M53-N53),E26))&gt;0,(IF((D53-F53-G53-H53-I53-J53-K53-L53-M53-N53)&lt;=E26,(D53-F53-G53-H53-I53-J53-K53-L53-M53-N53),E26)),0)</f>
        <v>0</v>
      </c>
      <c r="P53" s="82">
        <f>IF((IF((D53-F53-G53-H53-I53-J53-K53-L53-M53-N53-O53)&lt;=E27,(D53-F53-G53-H53-I53-J53-K53-L53-M53-N53-O53),E27))&gt;0,(IF((D53-F53-G53-H53-I53-J53-K53-L53-M53-N53-O53)&lt;=E27,(D53-F53-G53-H53-I53-J53-K53-L53-M53-N53-O53),E27)),0)</f>
        <v>0</v>
      </c>
      <c r="Q53" s="82">
        <f>IF((IF((D53-F53-G53-H53-I53-J53-K53-L53-M53-N53-O53-P53)&lt;=E28,(D53-F53-G53-H53-I53-J53-K53-L53-M53-N53-O53-P53),E28))&gt;0,(IF((D53-F53-G53-H53-I53-J53-K53-L53-M53-N53-O53-P53)&lt;=E28,(D53-F53-G53-H53-I53-J53-K53-L53-M53-N53-O53-P53),E28)),0)</f>
        <v>0</v>
      </c>
      <c r="R53" s="82">
        <f>IF((IF((D53-F53-G53-H53-I53-J53-K53-L53-M53-N53-O53-P53-Q53)&lt;=E29,(D53-F53-G53-H53-I53-J53-K53-L53-M53-N53-O53-P53-Q53),E29))&gt;0,(IF((D53-F53-G53-H53-I53-J53-K53-L53-M53-N53-O53-P53-Q53)&lt;=E29,(D53-F53-G53-H53-I53-J53-K53-L53-M53-N53-O53-P53-Q53),E29)),0)</f>
        <v>0</v>
      </c>
      <c r="S53" s="52">
        <f>IF((IF((D53-F53-G53-H53-I53-J53-K53-L53-M53-N53-O53-P53-Q53-R53)&lt;=E30,(D53-F53-G53-H53-I53-J53-K53-L53-M53-N53-O53-P53-Q53-R53),E30))&gt;0,(IF((D53-F53-G53-H53-I53-J53-K53-L53-M53-N53-O53-P53-Q53-R53)&lt;=E30,(D53-F53-G53-H53-I53-J53-K53-L53-M53-N53-O53-P53-Q53-R53),E30)),0)</f>
        <v>0</v>
      </c>
      <c r="T53" s="52">
        <f>IF((IF((D53-F53-G53-H53-I53-J53-K53-L53-M53-N53-O53-P53-Q53-R53-S53)&lt;=E31,(D53-F53-G53-H53-I53-J53-K53-L53-M53-N53-O53-P53-Q53-R53-S53),E31))&gt;0,(IF((D53-F53-G53-H53-I53-J53-K53-L53-M53-N53-O53-P53-Q53-R53-S53)&lt;=E31,(D53-F53-G53-H53-I53-J53-K53-L53-M53-N53-O53-P53-Q53-R53-S53),E31)),0)</f>
        <v>0</v>
      </c>
      <c r="U53" s="52">
        <f>IF((IF((D53-F53-G53-H53-I53-J53-K53-L53-M53-N53-O53-P53-Q53-R53-S53-T53)&lt;=E32,(D53-F53-G53-H53-I53-J53-K53-L53-M53-N53-O53-P53-Q53-R53-S53-T53),E32))&gt;0,(IF((D53-F53-G53-H53-I53-J53-K53-L53-M53-N53-O53-P53-Q53-R53-S53-T53)&lt;=E32,(D53-F53-G53-H53-I53-J53-K53-L53-M53-N53-O53-P53-Q53-R53-S53-T53),E32)),0)</f>
        <v>0</v>
      </c>
      <c r="V53" s="52">
        <f>IF((IF((D53-F53-G53-H53-I53-J53-K53-L53-M53-N53-O53-P53-Q53-R53-S53-T53-U53)&lt;=E33,(D53-F53-G53-H53-I53-J53-K53-L53-M53-N53-O53-P53-Q53-R53-S53-T53-U53),E33))&gt;0,(IF((D53-F53-G53-H53-I53-J53-K53-L53-M53-N53-O53-P53-Q53-R53-S53-T53-U53)&lt;=E33,(D53-F53-G53-H53-I53-J53-K53-L53-M53-N53-O53-P53-Q53-R53-S53-T53-U53),E33)),0)</f>
        <v>0</v>
      </c>
      <c r="W53" s="52">
        <f>IF((IF((D53-F53-G53-H53-I53-J53-K53-L53-M53-N53-O53-P53-Q53-R53-S53-T53-U53-V53)&lt;=E34,(D53-F53-G53-H53-I53-J53-K53-L53-M53-N53-O53-P53-Q53-R53-S53-T53-U53-V53),E34))&gt;0,(IF((D53-F53-G53-H53-I53-J53-K53-L53-M53-N53-O53-P53-Q53-R53-S53-T53-U53-V53)&lt;=E34,(D53-F53-G53-H53-I53-J53-K53-L53-M53-N53-O53-P53-Q53-R53-S53-T53-U53-V53),E34)),0)</f>
        <v>0</v>
      </c>
      <c r="X53" s="52">
        <f>IF((IF((D53-F53-G53-H53-I53-J53-K53-L53-M53-N53-O53-P53-Q53-R53-S53-T53-U53-V53-W53)&lt;=E35,(D53-F53-G53-H53-I53-J53-K53-L53-M53-N53-O53-P53-Q53-R53-S53-T53-U53-V53-W53),E35))&gt;0,(IF((D53-F53-G53-H53-I53-J53-K53-L53-M53-N53-O53-P53-Q53-R53-S53-T53-U53-V53-W53)&lt;=E35,(D53-F53-G53-H53-I53-J53-K53-L53-M53-N53-O53-P53-Q53-R53-S53-T53-U53-V53-W53),E35)),0)</f>
        <v>0</v>
      </c>
      <c r="Y53" s="52">
        <f>IF((IF((D53-F53-G53-H53-I53-J53-K53-L53-M53-N53-O53-P53-Q53-R53-S53-T53-U53-V53-W53-X53)&lt;=E36,(D53-F53-G53-H53-I53-J53-K53-L53-M53-N53-O53-P53-Q53-R53-S53-T53-U53-V53-W53-X53),E36))&gt;0,(IF((D53-F53-G53-H53-I53-J53-K53-L53-M53-N53-O53-P53-Q53-R53-S53-T53-U53-V53-W53-X53)&lt;=E36,(D53-F53-G53-H53-I53-J53-K53-L53-M53-N53-O53-P53-Q53-R53-S53-T53-U53-V53-W53-X53),E36)),0)</f>
        <v>0</v>
      </c>
      <c r="Z53" s="52">
        <f>IF((IF((D53-F53-G53-H53-I53-J53-K53-L53-M53-N53-O53-P53-Q53-R53-S53-T53-U53-V53-W53-X53-Y53)&lt;=E37,(D53-F53-G53-H53-I53-J53-K53-L53-M53-N53-O53-P53-Q53-R53-S53-T53-U53-V53-W53-X53-Y53),E37))&gt;0,(IF((D53-F53-G53-H53-I53-J53-K53-L53-M53-N53-O53-P53-Q53-R53-S53-T53-U53-V53-W53-X53-Y53)&lt;=E37,(D53-F53-G53-H53-I53-J53-K53-L53-M53-N53-O53-P53-Q53-R53-S53-T53-U53-V53-W53-X53-Y53),E37)),0)</f>
        <v>0</v>
      </c>
      <c r="AA53" s="52">
        <f>IF((IF((D53-F53-G53-H53-I53-J53-K53-L53-M53-N53-O53-P53-Q53-R53-S53-T53-U53-V53-W53-X53-Y53-Z53)&lt;=E38,(D53-F53-G53-H53-I53-J53-K53-L53-M53-N53-O53-P53-Q53-R53-S53-T53-U53-V53-W53-X53-Y53-Z53),E38))&gt;0,(IF((D53-F53-G53-H53-I53-J53-K53-L53-M53-N53-O53-P53-Q53-R53-S53-T53-U53-V53-W53-X53-Y53-Z53)&lt;=E38,(D53-F53-G53-H53-I53-J53-K53-L53-M53-N53-O53-P53-Q53-R53-S53-T53-U53-V53-W53-X53-Y53-Z53),E38)),0)</f>
        <v>0</v>
      </c>
      <c r="AB53" s="52">
        <f>IF((IF((D53-F53-G53-H53-I53-J53-K53-L53-M53-N53-O53-P53-Q53-R53-S53-T53-U53-V53-W53-X53-Y53-Z53-AA53)&lt;=E39,(D53-F53-G53-H53-I53-J53-K53-L53-M53-N53-O53-P53-Q53-R53-S53-T53-U53-V53-W53-X53-Y53-Z53-AA53),E39))&gt;0,(IF((D53-F53-G53-H53-I53-J53-K53-L53-M53-N53-O53-P53-Q53-R53-S53-T53-U53-V53-W53-X53-Y53-Z53-AA53)&lt;=E39,(D53-F53-G53-H53-I53-J53-K53-L53-M53-N53-O53-P53-Q53-R53-S53-T53-U53-V53-W53-X53-Y53-Z53-AA53),E39)),0)</f>
        <v>0</v>
      </c>
      <c r="AC53" s="52">
        <f>IF((IF((D53-F53-G53-H53-I53-J53-K53-L53-M53-N53-O53-P53-Q53-R53-S53-T53-U53-V53-W53-X53-Y53-Z53-AA53-AB53)&lt;=E40,(D53-F53-G53-H53-I53-J53-K53-L53-M53-N53-O53-P53-Q53-R53-S53-T53-U53-V53-W53-X53-Y53-Z53-AA53-AB53),E40))&gt;0,(IF((D53-F53-G53-H53-I53-J53-K53-L53-M53-N53-O53-P53-Q53-R53-S53-T53-U53-V53-W53-X53-Y53-Z53-AA53-AB53)&lt;=E40,(D53-F53-G53-H53-I53-J53-K53-L53-M53-N53-O53-P53-Q53-R53-S53-T53-U53-V53-W53-X53-Y53-Z53-AA53-AB53),E40)),0)</f>
        <v>0</v>
      </c>
      <c r="AD53" s="52">
        <f>IF((IF((D53-F53-G53-H53-I53-J53-K53-L53-M53-N53-O53-P53-Q53-R53-S53-T53-U53-V53-W53-X53-Y53-Z53-AA53-AB53-AC53)&lt;=E41,(D53-F53-G53-H53-I53-J53-K53-L53-M53-N53-O53-P53-Q53-R53-S53-T53-U53-V53-W53-X53-Y53-Z53-AA53-AB53-AC53),E41))&gt;0,(IF((D53-F53-G53-H53-I53-J53-K53-L53-M53-N53-O53-P53-Q53-R53-S53-T53-U53-V53-W53-X53-Y53-Z53-AA53-AB53-AC53)&lt;=E41,(D53-F53-G53-H53-I53-J53-K53-L53-M53-N53-O53-P53-Q53-R53-S53-T53-U53-V53-W53-X53-Y53-Z53-AA53-AB53-AC53),E41)),0)</f>
        <v>0</v>
      </c>
      <c r="AE53" s="52">
        <f>IF((IF((D53-F53-G53-H53-I53-J53-K53-L53-M53-N53-O53-P53-Q53-R53-S53-T53-U53-V53-W53-X53-Y53-Z53-AA53-AB53-AC53-AD53)&lt;=E42,(D53-F53-G53-H53-I53-J53-K53-L53-M53-N53-O53-P53-Q53-R53-S53-T53-U53-V53-W53-X53-Y53-Z53-AA53-AB53-AC53-AD53),E42))&gt;0,(IF((D53-F53-G53-H53-I53-J53-K53-L53-M53-N53-O53-P53-Q53-R53-S53-T53-U53-V53-W53-X53-Y53-Z53-AA53-AB53-AC53-AD53)&lt;=E42,(D53-F53-G53-H53-I53-J53-K53-L53-M53-N53-O53-P53-Q53-R53-S53-T53-U53-V53-W53-X53-Y53-Z53-AA53-AB53-AC53-AD53),E42)),0)</f>
        <v>0</v>
      </c>
      <c r="AF53" s="52">
        <f>IF((IF((D53-F53-G53-H53-I53-J53-K53-L53-M53-N53-O53-P53-Q53-R53-S53-T53-U53-V53-W53-X53-Y53-Z53-AA53-AB53-AC53-AD53-AE53)&lt;=E43,(D53-F53-G53-H53-I53-J53-K53-L53-M53-N53-O53-P53-Q53-R53-S53-T53-U53-V53-W53-X53-Y53-Z53-AA53-AB53-AC53-AD53-AE53),E43))&gt;0,(IF((D53-F53-G53-H53-I53-J53-K53-L53-M53-N53-O53-P53-Q53-R53-S53-T53-U53-V53-W53-X53-Y53-Z53-AA53-AB53-AC53-AD53-AE53)&lt;=E43,(D53-F53-G53-H53-I53-J53-K53-L53-M53-N53-O53-P53-Q53-R53-S53-T53-U53-V53-W53-X53-Y53-Z53-AA53-AB53-AC53-AD53-AE53),E43)),0)</f>
        <v>0</v>
      </c>
      <c r="AG53" s="52">
        <f>IF((IF((D53-F53-G53-H53-I53-J53-K53-L53-M53-N53-O53-P53-Q53-R53-S53-T53-U53-V53-W53-X53-Y53-Z53-AA53-AB53-AC53-AD53-AE53-AF53)&lt;=E44,(D53-F53-G53-H53-I53-J53-K53-L53-M53-N53-O53-P53-Q53-R53-S53-T53-U53-V53-W53-X53-Y53-Z53-AA53-AB53-AC53-AD53-AE53-AF53),E44))&gt;0,(IF((D53-F53-G53-H53-I53-J53-K53-L53-M53-N53-O53-P53-Q53-R53-S53-T53-U53-V53-W53-X53-Y53-Z53-AA53-AB53-AC53-AD53-AE53-AF53)&lt;=E44,(D53-F53-G53-H53-I53-J53-K53-L53-M53-N53-O53-P53-Q53-R53-S53-T53-U53-V53-W53-X53-Y53-Z53-AA53-AB53-AC53-AD53-AE53-AF53),E44)),0)</f>
        <v>0</v>
      </c>
      <c r="AH53" s="52">
        <f>IF((IF((D53-F53-G53-H53-I53-J53-K53-L53-M53-N53-O53-P53-Q53-R53-S53-T53-U53-V53-W53-X53-Y53-Z53-AA53-AB53-AC53-AD53-AE53-AF53-AG53)&lt;=E45,(D53-F53-G53-H53-I53-J53-K53-L53-M53-N53-O53-P53-Q53-R53-S53-T53-U53-V53-W53-X53-Y53-Z53-AA53-AB53-AC53-AD53-AE53-AF53-AG53),E45))&gt;0,(IF((D53-F53-G53-H53-I53-J53-K53-L53-M53-N53-O53-P53-Q53-R53-S53-T53-U53-V53-W53-X53-Y53-Z53-AA53-AB53-AC53-AD53-AE53-AF53-AG53)&lt;=E45,(D53-F53-G53-H53-I53-J53-K53-L53-M53-N53-O53-P53-Q53-R53-S53-T53-U53-V53-W53-X53-Y53-Z53-AA53-AB53-AC53-AD53-AE53-AF53-AG53),E45)),0)</f>
        <v>0</v>
      </c>
      <c r="AI53" s="83">
        <f>IF((IF((D53-F53-G53-H53-I53-J53-K53-L53-M53-N53-O53-P53-Q53-R53-S53-T53-U53-V53-W53-X53-Y53-Z53-AA53-AB53-AC53-AD53-AE53-AF53-AG53-AH53)&lt;=E46,(D53-F53-G53-H53-I53-J53-K53-L53-M53-N53-O53-P53-Q53-R53-S53-T53-U53-V53-W53-X53-Y53-Z53-AA53-AB53-AC53-AD53-AE53-AF53-AG53-AH53),E46))&gt;0,(IF((D53-F53-G53-H53-I53-J53-K53-L53-M53-N53-O53-P53-Q53-R53-S53-T53-U53-V53-W53-X53-Y53-Z53-AA53-AB53-AC53-AD53-AE53-AF53-AG53-AH53)&lt;=E46,(D53-F53-G53-H53-I53-J53-K53-L53-M53-N53-O53-P53-Q53-R53-S53-T53-U53-V53-W53-X53-Y53-Z53-AA53-AB53-AC53-AD53-AE53-AF53-AG53-AH53),E46)),0)</f>
        <v>0</v>
      </c>
      <c r="AJ53" s="84">
        <f>E17-F53</f>
        <v>0</v>
      </c>
      <c r="AK53" s="52">
        <f>E18-G53</f>
        <v>250000</v>
      </c>
      <c r="AL53" s="52">
        <f>E19-H53</f>
        <v>500000</v>
      </c>
      <c r="AM53" s="52">
        <f>E20-I53</f>
        <v>500000</v>
      </c>
      <c r="AN53" s="52">
        <f>E21-J53</f>
        <v>500000</v>
      </c>
      <c r="AO53" s="52">
        <f>E22-K53</f>
        <v>500000</v>
      </c>
      <c r="AP53" s="52">
        <f>E23-L53</f>
        <v>500000</v>
      </c>
      <c r="AQ53" s="52">
        <f>E24-M53</f>
        <v>500000</v>
      </c>
      <c r="AR53" s="52">
        <f>E25-N53</f>
        <v>500000</v>
      </c>
      <c r="AS53" s="52">
        <f>E26-O53</f>
        <v>500000</v>
      </c>
      <c r="AT53" s="52">
        <f>E27-P53</f>
        <v>500000</v>
      </c>
      <c r="AU53" s="52">
        <f>E28-Q53</f>
        <v>500000</v>
      </c>
      <c r="AV53" s="52">
        <f>E29-R53</f>
        <v>500000</v>
      </c>
      <c r="AW53" s="52">
        <f>E30-S53</f>
        <v>500000</v>
      </c>
      <c r="AX53" s="52">
        <f>E31-T53</f>
        <v>500000</v>
      </c>
      <c r="AY53" s="52">
        <f>E32-U53</f>
        <v>500000</v>
      </c>
      <c r="AZ53" s="52">
        <f>E33-V53</f>
        <v>500000</v>
      </c>
      <c r="BA53" s="52">
        <f>E34-W53</f>
        <v>500000</v>
      </c>
      <c r="BB53" s="52">
        <f>E35-X53</f>
        <v>500000</v>
      </c>
      <c r="BC53" s="52">
        <f>E36-Y53</f>
        <v>500000</v>
      </c>
      <c r="BD53" s="52">
        <f>E37-Z53</f>
        <v>500000</v>
      </c>
      <c r="BE53" s="52">
        <f>E38-AA53</f>
        <v>500000</v>
      </c>
      <c r="BF53" s="52">
        <f>E39-AB53</f>
        <v>500000</v>
      </c>
      <c r="BG53" s="52">
        <f>E40-AC53</f>
        <v>500000</v>
      </c>
      <c r="BH53" s="52">
        <f>E41-AD53</f>
        <v>500000</v>
      </c>
      <c r="BI53" s="52">
        <f>E42-AE53</f>
        <v>500000</v>
      </c>
      <c r="BJ53" s="52">
        <f>E43-AF53</f>
        <v>500000</v>
      </c>
      <c r="BK53" s="52">
        <f>E44-AG53</f>
        <v>500000</v>
      </c>
      <c r="BL53" s="52">
        <f>E45-AH53</f>
        <v>500000</v>
      </c>
      <c r="BM53" s="85">
        <f>E46-AI53</f>
        <v>500000</v>
      </c>
    </row>
    <row r="54" spans="1:66" s="1" customFormat="1" x14ac:dyDescent="0.25">
      <c r="A54" s="78">
        <f>D54/E54</f>
        <v>4750000</v>
      </c>
      <c r="B54" s="45" t="s">
        <v>21</v>
      </c>
      <c r="C54" s="3">
        <v>700000</v>
      </c>
      <c r="D54" s="52">
        <f>C54</f>
        <v>700000</v>
      </c>
      <c r="E54" s="80">
        <f t="shared" ref="E54:E70" si="18">D54/(F54/$F$52+G54/$G$52+H54/$H$52+I54/$I$52+J54/$J$52+K54/$K$52+L54/$L$52+M54/$M$52+N54/$N$52+O54/$O$52+P54/$P$52+Q54/$Q$52+R54/$R$52+S54/$S$52+T54/$T$52+U54/$U$52+V54/$V$52+W54/$W$52+X54/$X$52+Y54/$Y$52+Z54/$Z$52+AA54/$AA$52+AB54/$AB$52+AC54/$AC$52+AD54/$AD$52+AE54/$AE$52+AF54/$AF$52+AG54/$AG$52+AH54/$AH$52+AI54/$AI$52)</f>
        <v>0.14736842105263157</v>
      </c>
      <c r="F54" s="52">
        <f t="shared" ref="F54:F71" si="19">IF(D54&lt;=AJ53,D54,AJ53)</f>
        <v>0</v>
      </c>
      <c r="G54" s="52">
        <f t="shared" ref="G54:G71" si="20">IF((IF((D54-F54)&lt;=AK53,(D54-F54),AK53))&gt;0,(IF((D54-F54)&lt;=AK53,(D54-F54),AK53)),0)</f>
        <v>250000</v>
      </c>
      <c r="H54" s="52">
        <f t="shared" ref="H54:H71" si="21">IF((IF((D54-F54-G54)&lt;=AL53,(D54-F54-G54),AL53))&gt;0,(IF((D54-F54-G54)&lt;=AL53,(D54-F54-G54),AL53)),0)</f>
        <v>450000</v>
      </c>
      <c r="I54" s="52">
        <f t="shared" ref="I54:I71" si="22">IF((IF((D54-F54-G54-H54)&lt;=AM53,(D54-F54-G54-H54),AM53))&gt;0,(IF((D54-F54-G54-H54)&lt;=AM53,(D54-F54-G54-H54),AM53)),0)</f>
        <v>0</v>
      </c>
      <c r="J54" s="52">
        <f t="shared" ref="J54:J71" si="23">IF((IF((D54-F54-G54-H54-I54)&lt;=AN53,(D54-F54-G54-H54-I54),AN53))&gt;0,(IF((D54-F54-G54-H54-I54)&lt;=AN53,(D54-F54-G54-H54-I54),AN53)),0)</f>
        <v>0</v>
      </c>
      <c r="K54" s="83">
        <f t="shared" ref="K54:K71" si="24">IF((IF((D54-F54-G54-H54-I54-J54)&lt;=AO53,(D54-F54-G54-H54-I54-J54),AO53))&gt;0,(IF((D54-F54-G54-H54-I54-J54)&lt;=AO53,(D54-F54-G54-H54-I54-J54),AO53)),0)</f>
        <v>0</v>
      </c>
      <c r="L54" s="82">
        <f t="shared" ref="L54:L71" si="25">IF((IF((D54-F54-G54-H54-I54-J54-K54)&lt;=AP53,(D54-F54-G54-H54-I54-J54-K54),AP53))&gt;0,(IF((D54-F54-G54-H54-I54-J54-K54)&lt;=AP53,(D54-F54-G54-H54-I54-J54-K54),AP53)),0)</f>
        <v>0</v>
      </c>
      <c r="M54" s="82">
        <f t="shared" ref="M54:M71" si="26">IF((IF((D54-F54-G54-H54-I54-J54-K54-L54)&lt;=AQ53,(D54-F54-G54-H54-I54-J54-K54-L54),AQ53))&gt;0,(IF((D54-F54-G54-H54-I54-J54-K54-L54)&lt;=AQ53,(D54-F54-G54-H54-I54-J54-K54-L54),AQ53)),0)</f>
        <v>0</v>
      </c>
      <c r="N54" s="82">
        <f t="shared" ref="N54:N71" si="27">IF((IF((D54-F54-G54-H54-I54-J54-K54-L54-M54)&lt;=AR53,(D54-F54-G54-H54-I54-J54-K54-L54-M54),AR53))&gt;0,(IF((D54-F54-G54-H54-I54-J54-K54-L54-M54)&lt;=AR53,(D54-F54-G54-H54-I54-J54-K54-L54-M54),AR53)),0)</f>
        <v>0</v>
      </c>
      <c r="O54" s="82">
        <f t="shared" ref="O54:O71" si="28">IF((IF((D54-F54-G54-H54-I54-J54-K54-L54-M54-N54)&lt;=AS53,(D54-F54-G54-H54-I54-J54-K54-L54-M54-N54),AS53))&gt;0,(IF((D54-F54-G54-H54-I54-J54-K54-L54-M54-N54)&lt;=AS53,(D54-F54-G54-H54-I54-J54-K54-L54-M54-N54),AS53)),0)</f>
        <v>0</v>
      </c>
      <c r="P54" s="82">
        <f t="shared" ref="P54:P71" si="29">IF((IF((D54-F54-G54-H54-I54-J54-K54-L54-M54-N54-O54)&lt;=AT53,(D54-F54-G54-H54-I54-J54-K54-L54-M54-N54-O54),AT53))&gt;0,(IF((D54-F54-G54-H54-I54-J54-K54-L54-M54-N54-O54)&lt;=AT53,(D54-F54-G54-H54-I54-J54-K54-L54-M54-N54-O54),AT53)),0)</f>
        <v>0</v>
      </c>
      <c r="Q54" s="82">
        <f t="shared" ref="Q54:Q71" si="30">IF((IF((D54-F54-G54-H54-I54-J54-K54-L54-M54-N54-O54-P54)&lt;=AU53,(D54-F54-G54-H54-I54-J54-K54-L54-M54-N54-O54-P54),AU53))&gt;0,(IF((D54-F54-G54-H54-I54-J54-K54-L54-M54-N54-O54-P54)&lt;=AU53,(D54-F54-G54-H54-I54-J54-K54-L54-M54-N54-O54-P54),AU53)),0)</f>
        <v>0</v>
      </c>
      <c r="R54" s="82">
        <f t="shared" ref="R54:R71" si="31">IF((IF((D54-F54-G54-H54-I54-J54-K54-L54-M54-N54-O54-P54-Q54)&lt;=AV53,(D54-F54-G54-H54-I54-J54-K54-L54-M54-N54-O54-P54-Q54),AV53))&gt;0,(IF((D54-F54-G54-H54-I54-J54-K54-L54-M54-N54-O54-P54-Q54)&lt;=AV53,(D54-F54-G54-H54-I54-J54-K54-L54-M54-N54-O54-P54-Q54),AV53)),0)</f>
        <v>0</v>
      </c>
      <c r="S54" s="52">
        <f t="shared" ref="S54:S71" si="32">IF((IF((D54-F54-G54-H54-I54-J54-K54-L54-M54-N54-O54-P54-Q54-R54)&lt;=AW53,(D54-F54-G54-H54-I54-J54-K54-L54-M54-N54-O54-P54-Q54-R54),AW53))&gt;0,(IF((D54-F54-G54-H54-I54-J54-K54-L54-M54-N54-O54-P54-Q54-R54)&lt;=AW53,(D54-F54-G54-H54-I54-J54-K54-L54-M54-N54-O54-P54-Q54-R54),AW53)),0)</f>
        <v>0</v>
      </c>
      <c r="T54" s="52">
        <f>IF((IF((D54-F54-G54-H54-I54-J54-K54-L54-M54-N54-O54-P54-Q54-R54-S54)&lt;=AX53,(D54-F54-G54-H54-I54-J54-K54-L54-M54-N54-O54-P54-Q54-R54-S54),AX53))&gt;0,(IF((D54-F54-G54-H54-I54-J54-K54-L54-M54-N54-O54-P54-Q54-R54-S54)&lt;=AX53,(D54-F54-G54-H54-I54-J54-K54-L54-M54-N54-O54-P54-Q54-R54-S54),AX53)),0)</f>
        <v>0</v>
      </c>
      <c r="U54" s="52">
        <f>IF((IF((D54-F54-G54-H54-I54-J54-K54-L54-M54-N54-O54-P54-Q54-R54-S54-T54)&lt;=AY53,(D54-F54-G54-H54-I54-J54-K54-L54-M54-N54-O54-P54-Q54-R54-S54-T54),AY53))&gt;0,(IF((D54-F54-G54-H54-I54-J54-K54-L54-M54-N54-O54-P54-Q54-R54-S54-T54)&lt;=AY53,(D54-F54-G54-H54-I54-J54-K54-L54-M54-N54-O54-P54-Q54-R54-S54-T54),AY53)),0)</f>
        <v>0</v>
      </c>
      <c r="V54" s="52">
        <f>IF((IF((D54-F54-G54-H54-I54-J54-K54-L54-M54-N54-O54-P54-Q54-R54-S54-T54-U54)&lt;=AZ53,(D54-F54-G54-H54-I54-J54-K54-L54-M54-N54-O54-P54-Q54-R54-S54-T54-U54),AZ53))&gt;0,(IF((D54-F54-G54-H54-I54-J54-K54-L54-M54-N54-O54-P54-Q54-R54-S54-T54-U54)&lt;=AZ53,(D54-F54-G54-H54-I54-J54-K54-L54-M54-N54-O54-P54-Q54-R54-S54-T54-U54),AZ53)),0)</f>
        <v>0</v>
      </c>
      <c r="W54" s="52">
        <f>IF((IF((D54-F54-G54-H54-I54-J54-K54-L54-M54-N54-O54-P54-Q54-R54-S54-T54-U54-V54)&lt;=BA53,(D54-F54-G54-H54-I54-J54-K54-L54-M54-N54-O54-P54-Q54-R54-S54-T54-U54-V54),BA53))&gt;0,(IF((D54-F54-G54-H54-I54-J54-K54-L54-M54-N54-O54-P54-Q54-R54-S54-T54-U54-V54)&lt;=BA53,(D54-F54-G54-H54-I54-J54-K54-L54-M54-N54-O54-P54-Q54-R54-S54-T54-U54-V54),BA53)),0)</f>
        <v>0</v>
      </c>
      <c r="X54" s="52">
        <f>IF((IF((D54-F54-G54-H54-I54-J54-K54-L54-M54-N54-O54-P54-Q54-R54-S54-T54-U54-V54-W54)&lt;=BB53,(D54-F54-G54-H54-I54-J54-K54-L54-M54-N54-O54-P54-Q54-R54-S54-T54-U54-V54-W54),BB53))&gt;0,(IF((D54-F54-G54-H54-I54-J54-K54-L54-M54-N54-O54-P54-Q54-R54-S54-T54-U54-V54-W54)&lt;=BB53,(D54-F54-G54-H54-I54-J54-K54-L54-M54-N54-O54-P54-Q54-R54-S54-T54-U54-V54-W54),BB53)),0)</f>
        <v>0</v>
      </c>
      <c r="Y54" s="52">
        <f>IF((IF((D54-F54-G54-H54-I54-J54-K54-L54-M54-N54-O54-P54-Q54-R54-S54-T54-U54-V54-W54-X54)&lt;=BC53,(D54-F54-G54-H54-I54-J54-K54-L54-M54-N54-O54-P54-Q54-R54-S54-T54-U54-V54-W54-X54),BC53))&gt;0,(IF((D54-F54-G54-H54-I54-J54-K54-L54-M54-N54-O54-P54-Q54-R54-S54-T54-U54-V54-W54-X54)&lt;=BC53,(D54-F54-G54-H54-I54-J54-K54-L54-M54-N54-O54-P54-Q54-R54-S54-T54-U54-V54-W54-X54),BC53)),0)</f>
        <v>0</v>
      </c>
      <c r="Z54" s="52">
        <f>IF((IF((D54-F54-G54-H54-I54-J54-K54-L54-M54-N54-O54-P54-Q54-R54-S54-T54-U54-V54-W54-X54-Y54)&lt;=BD53,(D54-F54-G54-H54-I54-J54-K54-L54-M54-N54-O54-P54-Q54-R54-S54-T54-U54-V54-W54-X54-Y54),BD53))&gt;0,(IF((D54-F54-G54-H54-I54-J54-K54-L54-M54-N54-O54-P54-Q54-R54-S54-T54-U54-V54-W54-X54-Y54)&lt;=BD53,(D54-F54-G54-H54-I54-J54-K54-L54-M54-N54-O54-P54-Q54-R54-S54-T54-U54-V54-W54-X54-Y54),BD53)),0)</f>
        <v>0</v>
      </c>
      <c r="AA54" s="52">
        <f>IF((IF((D54-F54-G54-H54-I54-J54-K54-L54-M54-N54-O54-P54-Q54-R54-S54-T54-U54-V54-W54-X54-Y54-Z54)&lt;=BE53,(D54-F54-G54-H54-I54-J54-K54-L54-M54-N54-O54-P54-Q54-R54-S54-T54-U54-V54-W54-X54-Y54-Z54),BE53))&gt;0,(IF((D54-F54-G54-H54-I54-J54-K54-L54-M54-N54-O54-P54-Q54-R54-S54-T54-U54-V54-W54-X54-Y54-Z54)&lt;=BE53,(D54-F54-G54-H54-I54-J54-K54-L54-M54-N54-O54-P54-Q54-R54-S54-T54-U54-V54-W54-X54-Y54-Z54),BE53)),0)</f>
        <v>0</v>
      </c>
      <c r="AB54" s="52">
        <f>IF((IF((D54-F54-G54-H54-I54-J54-K54-L54-M54-N54-O54-P54-Q54-R54-S54-T54-U54-V54-W54-X54-Y54-Z54-AA54)&lt;=BF53,(D54-F54-G54-H54-I54-J54-K54-L54-M54-N54-O54-P54-Q54-R54-S54-T54-U54-V54-W54-X54-Y54-Z54-AA54),BF53))&gt;0,(IF((D54-F54-G54-H54-I54-J54-K54-L54-M54-N54-O54-P54-Q54-R54-S54-T54-U54-V54-W54-X54-Y54-Z54-AA54)&lt;=BF53,(D54-F54-G54-H54-I54-J54-K54-L54-M54-N54-O54-P54-Q54-R54-S54-T54-U54-V54-W54-X54-Y54-Z54-AA54),BF53)),0)</f>
        <v>0</v>
      </c>
      <c r="AC54" s="52">
        <f>IF((IF((D54-F54-G54-H54-I54-J54-K54-L54-M54-N54-O54-P54-Q54-R54-S54-T54-U54-V54-W54-X54-Y54-Z54-AA54-AB54)&lt;=BG53,(D54-F54-G54-H54-I54-J54-K54-L54-M54-N54-O54-P54-Q54-R54-S54-T54-U54-V54-W54-X54-Y54-Z54-AA54-AB54),BG53))&gt;0,(IF((D54-F54-G54-H54-I54-J54-K54-L54-M54-N54-O54-P54-Q54-R54-S54-T54-U54-V54-W54-X54-Y54-Z54-AA54-AB54)&lt;=BG53,(D54-F54-G54-H54-I54-J54-K54-L54-M54-N54-O54-P54-Q54-R54-S54-T54-U54-V54-W54-X54-Y54-Z54-AA54-AB54),BG53)),0)</f>
        <v>0</v>
      </c>
      <c r="AD54" s="52">
        <f>IF((IF((D54-F54-G54-H54-I54-J54-K54-L54-M54-N54-O54-P54-Q54-R54-S54-T54-U54-V54-W54-X54-Y54-Z54-AA54-AB54-AC54)&lt;=BH53,(D54-F54-G54-H54-I54-J54-K54-L54-M54-N54-O54-P54-Q54-R54-S54-T54-U54-V54-W54-X54-Y54-Z54-AA54-AB54-AC54),BH53))&gt;0,(IF((D54-F54-G54-H54-I54-J54-K54-L54-M54-N54-O54-P54-Q54-R54-S54-T54-U54-V54-W54-X54-Y54-Z54-AA54-AB54-AC54)&lt;=BH53,(D54-F54-G54-H54-I54-J54-K54-L54-M54-N54-O54-P54-Q54-R54-S54-T54-U54-V54-W54-X54-Y54-Z54-AA54-AB54-AC54),BH53)),0)</f>
        <v>0</v>
      </c>
      <c r="AE54" s="52">
        <f>IF((IF((D54-F54-G54-H54-I54-J54-K54-L54-M54-N54-O54-P54-Q54-R54-S54-T54-U54-V54-W54-X54-Y54-Z54-AA54-AB54-AC54-AD54)&lt;=BI53,(D54-F54-G54-H54-I54-J54-K54-L54-M54-N54-O54-P54-Q54-R54-S54-T54-U54-V54-W54-X54-Y54-Z54-AA54-AB54-AC54-AD54),BI53))&gt;0,(IF((D54-F54-G54-H54-I54-J54-K54-L54-M54-N54-O54-P54-Q54-R54-S54-T54-U54-V54-W54-X54-Y54-Z54-AA54-AB54-AC54-AD54)&lt;=BI53,(D54-F54-G54-H54-I54-J54-K54-L54-M54-N54-O54-P54-Q54-R54-S54-T54-U54-V54-W54-X54-Y54-Z54-AA54-AB54-AC54-AD54),BI53)),0)</f>
        <v>0</v>
      </c>
      <c r="AF54" s="52">
        <f>IF((IF((D54-F54-G54-H54-I54-J54-K54-L54-M54-N54-O54-P54-Q54-R54-S54-T54-U54-V54-W54-X54-Y54-Z54-AA54-AB54-AC54-AD54-AE54)&lt;=BJ53,(D54-F54-G54-H54-I54-J54-K54-L54-M54-N54-O54-P54-Q54-R54-S54-T54-U54-V54-W54-X54-Y54-Z54-AA54-AB54-AC54-AD54-AE54),BJ53))&gt;0,(IF((D54-F54-G54-H54-I54-J54-K54-L54-M54-N54-O54-P54-Q54-R54-S54-T54-U54-V54-W54-X54-Y54-Z54-AA54-AB54-AC54-AD54-AE54)&lt;=BJ53,(D54-F54-G54-H54-I54-J54-K54-L54-M54-N54-O54-P54-Q54-R54-S54-T54-U54-V54-W54-X54-Y54-Z54-AA54-AB54-AC54-AD54-AE54),BJ53)),0)</f>
        <v>0</v>
      </c>
      <c r="AG54" s="52">
        <f>IF((IF((D54-F54-G54-H54-I54-J54-K54-L54-M54-N54-O54-P54-Q54-R54-S54-T54-U54-V54-W54-X54-Y54-Z54-AA54-AB54-AC54-AD54-AE54-AF54)&lt;=BK53,(D54-F54-G54-H54-I54-J54-K54-L54-M54-N54-O54-P54-Q54-R54-S54-T54-U54-V54-W54-X54-Y54-Z54-AA54-AB54-AC54-AD54-AE54-AF54),BK53))&gt;0,(IF((D54-F54-G54-H54-I54-J54-K54-L54-M54-N54-O54-P54-Q54-R54-S54-T54-U54-V54-W54-X54-Y54-Z54-AA54-AB54-AC54-AD54-AE54-AF54)&lt;=BK53,(D54-F54-G54-H54-I54-J54-K54-L54-M54-N54-O54-P54-Q54-R54-S54-T54-U54-V54-W54-X54-Y54-Z54-AA54-AB54-AC54-AD54-AE54-AF54),BK53)),0)</f>
        <v>0</v>
      </c>
      <c r="AH54" s="52">
        <f>IF((IF((D54-F54-G54-H54-I54-J54-K54-L54-M54-N54-O54-P54-Q54-R54-S54-T54-U54-V54-W54-X54-Y54-Z54-AA54-AB54-AC54-AD54-AE54-AF54-AG54)&lt;=BL53,(D54-F54-G54-H54-I54-J54-K54-L54-M54-N54-O54-P54-Q54-R54-S54-T54-U54-V54-W54-X54-Y54-Z54-AA54-AB54-AC54-AD54-AE54-AF54-AG54),BL53))&gt;0,(IF((D54-F54-G54-H54-I54-J54-K54-L54-M54-N54-O54-P54-Q54-R54-S54-T54-U54-V54-W54-X54-Y54-Z54-AA54-AB54-AC54-AD54-AE54-AF54-AG54)&lt;=BL53,(D54-F54-G54-H54-I54-J54-K54-L54-M54-N54-O54-P54-Q54-R54-S54-T54-U54-V54-W54-X54-Y54-Z54-AA54-AB54-AC54-AD54-AE54-AF54-AG54),BL53)),0)</f>
        <v>0</v>
      </c>
      <c r="AI54" s="83">
        <f>IF((IF((D54-F54-G54-H54-I54-J54-K54-L54-M54-N54-O54-P54-Q54-R54-S54-T54-U54-V54-W54-X54-Y54-Z54-AA54-AB54-AC54-AD54-AE54-AF54-AG54-AH54)&lt;=BM53,(D54-F54-G54-H54-I54-J54-K54-L54-M54-N54-O54-P54-Q54-R54-S54-T54-U54-V54-W54-X54-Y54-Z54-AA54-AB54-AC54-AD54-AE54-AF54-AG54-AH54),BM53))&gt;0,(IF((D54-F54-G54-H54-I54-J54-K54-L54-M54-N54-O54-P54-Q54-R54-S54-T54-U54-V54-W54-X54-Y54-Z54-AA54-AB54-AC54-AD54-AE54-AF54-AG54-AH54)&lt;=BM53,(D54-F54-G54-H54-I54-J54-K54-L54-M54-N54-O54-P54-Q54-R54-S54-T54-U54-V54-W54-X54-Y54-Z54-AA54-AB54-AC54-AD54-AE54-AF54-AG54-AH54),BM53)),0)</f>
        <v>0</v>
      </c>
      <c r="AJ54" s="84">
        <f t="shared" ref="AJ54:AX55" si="33">AJ53-F54</f>
        <v>0</v>
      </c>
      <c r="AK54" s="52">
        <f t="shared" si="33"/>
        <v>0</v>
      </c>
      <c r="AL54" s="52">
        <f t="shared" si="33"/>
        <v>50000</v>
      </c>
      <c r="AM54" s="52">
        <f t="shared" si="33"/>
        <v>500000</v>
      </c>
      <c r="AN54" s="52">
        <f t="shared" si="33"/>
        <v>500000</v>
      </c>
      <c r="AO54" s="52">
        <f t="shared" si="33"/>
        <v>500000</v>
      </c>
      <c r="AP54" s="52">
        <f t="shared" si="33"/>
        <v>500000</v>
      </c>
      <c r="AQ54" s="52">
        <f t="shared" si="33"/>
        <v>500000</v>
      </c>
      <c r="AR54" s="52">
        <f t="shared" si="33"/>
        <v>500000</v>
      </c>
      <c r="AS54" s="52">
        <f t="shared" si="33"/>
        <v>500000</v>
      </c>
      <c r="AT54" s="52">
        <f t="shared" si="33"/>
        <v>500000</v>
      </c>
      <c r="AU54" s="52">
        <f t="shared" si="33"/>
        <v>500000</v>
      </c>
      <c r="AV54" s="52">
        <f t="shared" si="33"/>
        <v>500000</v>
      </c>
      <c r="AW54" s="52">
        <f t="shared" si="33"/>
        <v>500000</v>
      </c>
      <c r="AX54" s="52">
        <f t="shared" si="33"/>
        <v>500000</v>
      </c>
      <c r="AY54" s="52">
        <f t="shared" ref="AY54:BM69" si="34">AY53-U54</f>
        <v>500000</v>
      </c>
      <c r="AZ54" s="52">
        <f t="shared" si="34"/>
        <v>500000</v>
      </c>
      <c r="BA54" s="52">
        <f t="shared" si="34"/>
        <v>500000</v>
      </c>
      <c r="BB54" s="52">
        <f t="shared" si="34"/>
        <v>500000</v>
      </c>
      <c r="BC54" s="52">
        <f t="shared" si="34"/>
        <v>500000</v>
      </c>
      <c r="BD54" s="52">
        <f t="shared" si="34"/>
        <v>500000</v>
      </c>
      <c r="BE54" s="52">
        <f t="shared" si="34"/>
        <v>500000</v>
      </c>
      <c r="BF54" s="52">
        <f t="shared" si="34"/>
        <v>500000</v>
      </c>
      <c r="BG54" s="52">
        <f t="shared" si="34"/>
        <v>500000</v>
      </c>
      <c r="BH54" s="52">
        <f t="shared" si="34"/>
        <v>500000</v>
      </c>
      <c r="BI54" s="52">
        <f t="shared" si="34"/>
        <v>500000</v>
      </c>
      <c r="BJ54" s="52">
        <f t="shared" si="34"/>
        <v>500000</v>
      </c>
      <c r="BK54" s="52">
        <f t="shared" si="34"/>
        <v>500000</v>
      </c>
      <c r="BL54" s="52">
        <f t="shared" si="34"/>
        <v>500000</v>
      </c>
      <c r="BM54" s="85">
        <f t="shared" si="34"/>
        <v>500000</v>
      </c>
      <c r="BN54" s="42"/>
    </row>
    <row r="55" spans="1:66" s="1" customFormat="1" x14ac:dyDescent="0.25">
      <c r="A55" s="78">
        <f t="shared" ref="A55:A65" si="35">D55/E55</f>
        <v>1800000</v>
      </c>
      <c r="B55" s="45" t="s">
        <v>22</v>
      </c>
      <c r="C55" s="3">
        <v>700000</v>
      </c>
      <c r="D55" s="52">
        <f t="shared" ref="D55:D71" si="36">C55</f>
        <v>700000</v>
      </c>
      <c r="E55" s="80">
        <f t="shared" si="18"/>
        <v>0.3888888888888889</v>
      </c>
      <c r="F55" s="52">
        <f t="shared" si="19"/>
        <v>0</v>
      </c>
      <c r="G55" s="52">
        <f t="shared" si="20"/>
        <v>0</v>
      </c>
      <c r="H55" s="52">
        <f t="shared" si="21"/>
        <v>50000</v>
      </c>
      <c r="I55" s="52">
        <f t="shared" si="22"/>
        <v>500000</v>
      </c>
      <c r="J55" s="52">
        <f t="shared" si="23"/>
        <v>150000</v>
      </c>
      <c r="K55" s="83">
        <f t="shared" si="24"/>
        <v>0</v>
      </c>
      <c r="L55" s="82">
        <f t="shared" si="25"/>
        <v>0</v>
      </c>
      <c r="M55" s="82">
        <f t="shared" si="26"/>
        <v>0</v>
      </c>
      <c r="N55" s="82">
        <f t="shared" si="27"/>
        <v>0</v>
      </c>
      <c r="O55" s="82">
        <f t="shared" si="28"/>
        <v>0</v>
      </c>
      <c r="P55" s="82">
        <f t="shared" si="29"/>
        <v>0</v>
      </c>
      <c r="Q55" s="82">
        <f t="shared" si="30"/>
        <v>0</v>
      </c>
      <c r="R55" s="82">
        <f t="shared" si="31"/>
        <v>0</v>
      </c>
      <c r="S55" s="52">
        <f t="shared" si="32"/>
        <v>0</v>
      </c>
      <c r="T55" s="52">
        <f>IF((IF((D55-F55-G55-H55-I55-J55-K55-L55-M55-N55-O55-P55-Q55-R55-S55)&lt;=AX54,(D55-F55-G55-H55-I55-J55-K55-L55-M55-N55-O55-P55-Q55-R55-S55),AX54))&gt;0,(IF((D55-F55-G55-H55-I55-J55-K55-L55-M55-N55-O55-P55-Q55-R55-S55)&lt;=AX54,(D55-F55-G55-H55-I55-J55-K55-L55-M55-N55-O55-P55-Q55-R55-S55),AX54)),0)</f>
        <v>0</v>
      </c>
      <c r="U55" s="52">
        <f t="shared" ref="U55:U70" si="37">IF((IF((D55-F55-G55-H55-I55-J55-K55-L55-M55-N55-O55-P55-Q55-R55-S55-T55)&lt;=AY54,(D55-F55-G55-H55-I55-J55-K55-L55-M55-N55-O55-P55-Q55-R55-S55-T55),AY54))&gt;0,(IF((D55-F55-G55-H55-I55-J55-K55-L55-M55-N55-O55-P55-Q55-R55-S55-T55)&lt;=AY54,(D55-F55-G55-H55-I55-J55-K55-L55-M55-N55-O55-P55-Q55-R55-S55-T55),AY54)),0)</f>
        <v>0</v>
      </c>
      <c r="V55" s="52">
        <f t="shared" ref="V55:V71" si="38">IF((IF((D55-F55-G55-H55-I55-J55-K55-L55-M55-N55-O55-P55-Q55-R55-S55-T55-U55)&lt;=AZ54,(D55-F55-G55-H55-I55-J55-K55-L55-M55-N55-O55-P55-Q55-R55-S55-T55-U55),AZ54))&gt;0,(IF((D55-F55-G55-H55-I55-J55-K55-L55-M55-N55-O55-P55-Q55-R55-S55-T55-U55)&lt;=AZ54,(D55-F55-G55-H55-I55-J55-K55-L55-M55-N55-O55-P55-Q55-R55-S55-T55-U55),AZ54)),0)</f>
        <v>0</v>
      </c>
      <c r="W55" s="52">
        <f t="shared" ref="W55:W71" si="39">IF((IF((D55-F55-G55-H55-I55-J55-K55-L55-M55-N55-O55-P55-Q55-R55-S55-T55-U55-V55)&lt;=BA54,(D55-F55-G55-H55-I55-J55-K55-L55-M55-N55-O55-P55-Q55-R55-S55-T55-U55-V55),BA54))&gt;0,(IF((D55-F55-G55-H55-I55-J55-K55-L55-M55-N55-O55-P55-Q55-R55-S55-T55-U55-V55)&lt;=BA54,(D55-F55-G55-H55-I55-J55-K55-L55-M55-N55-O55-P55-Q55-R55-S55-T55-U55-V55),BA54)),0)</f>
        <v>0</v>
      </c>
      <c r="X55" s="52">
        <f t="shared" ref="X55:X71" si="40">IF((IF((D55-F55-G55-H55-I55-J55-K55-L55-M55-N55-O55-P55-Q55-R55-S55-T55-U55-V55-W55)&lt;=BB54,(D55-F55-G55-H55-I55-J55-K55-L55-M55-N55-O55-P55-Q55-R55-S55-T55-U55-V55-W55),BB54))&gt;0,(IF((D55-F55-G55-H55-I55-J55-K55-L55-M55-N55-O55-P55-Q55-R55-S55-T55-U55-V55-W55)&lt;=BB54,(D55-F55-G55-H55-I55-J55-K55-L55-M55-N55-O55-P55-Q55-R55-S55-T55-U55-V55-W55),BB54)),0)</f>
        <v>0</v>
      </c>
      <c r="Y55" s="52">
        <f t="shared" ref="Y55:Y71" si="41">IF((IF((D55-F55-G55-H55-I55-J55-K55-L55-M55-N55-O55-P55-Q55-R55-S55-T55-U55-V55-W55-X55)&lt;=BC54,(D55-F55-G55-H55-I55-J55-K55-L55-M55-N55-O55-P55-Q55-R55-S55-T55-U55-V55-W55-X55),BC54))&gt;0,(IF((D55-F55-G55-H55-I55-J55-K55-L55-M55-N55-O55-P55-Q55-R55-S55-T55-U55-V55-W55-X55)&lt;=BC54,(D55-F55-G55-H55-I55-J55-K55-L55-M55-N55-O55-P55-Q55-R55-S55-T55-U55-V55-W55-X55),BC54)),0)</f>
        <v>0</v>
      </c>
      <c r="Z55" s="52">
        <f t="shared" ref="Z55:Z71" si="42">IF((IF((D55-F55-G55-H55-I55-J55-K55-L55-M55-N55-O55-P55-Q55-R55-S55-T55-U55-V55-W55-X55-Y55)&lt;=BD54,(D55-F55-G55-H55-I55-J55-K55-L55-M55-N55-O55-P55-Q55-R55-S55-T55-U55-V55-W55-X55-Y55),BD54))&gt;0,(IF((D55-F55-G55-H55-I55-J55-K55-L55-M55-N55-O55-P55-Q55-R55-S55-T55-U55-V55-W55-X55-Y55)&lt;=BD54,(D55-F55-G55-H55-I55-J55-K55-L55-M55-N55-O55-P55-Q55-R55-S55-T55-U55-V55-W55-X55-Y55),BD54)),0)</f>
        <v>0</v>
      </c>
      <c r="AA55" s="52">
        <f t="shared" ref="AA55:AA71" si="43">IF((IF((D55-F55-G55-H55-I55-J55-K55-L55-M55-N55-O55-P55-Q55-R55-S55-T55-U55-V55-W55-X55-Y55-Z55)&lt;=BE54,(D55-F55-G55-H55-I55-J55-K55-L55-M55-N55-O55-P55-Q55-R55-S55-T55-U55-V55-W55-X55-Y55-Z55),BE54))&gt;0,(IF((D55-F55-G55-H55-I55-J55-K55-L55-M55-N55-O55-P55-Q55-R55-S55-T55-U55-V55-W55-X55-Y55-Z55)&lt;=BE54,(D55-F55-G55-H55-I55-J55-K55-L55-M55-N55-O55-P55-Q55-R55-S55-T55-U55-V55-W55-X55-Y55-Z55),BE54)),0)</f>
        <v>0</v>
      </c>
      <c r="AB55" s="52">
        <f t="shared" ref="AB55:AB71" si="44">IF((IF((D55-F55-G55-H55-I55-J55-K55-L55-M55-N55-O55-P55-Q55-R55-S55-T55-U55-V55-W55-X55-Y55-Z55-AA55)&lt;=BF54,(D55-F55-G55-H55-I55-J55-K55-L55-M55-N55-O55-P55-Q55-R55-S55-T55-U55-V55-W55-X55-Y55-Z55-AA55),BF54))&gt;0,(IF((D55-F55-G55-H55-I55-J55-K55-L55-M55-N55-O55-P55-Q55-R55-S55-T55-U55-V55-W55-X55-Y55-Z55-AA55)&lt;=BF54,(D55-F55-G55-H55-I55-J55-K55-L55-M55-N55-O55-P55-Q55-R55-S55-T55-U55-V55-W55-X55-Y55-Z55-AA55),BF54)),0)</f>
        <v>0</v>
      </c>
      <c r="AC55" s="52">
        <f t="shared" ref="AC55:AC71" si="45">IF((IF((D55-F55-G55-H55-I55-J55-K55-L55-M55-N55-O55-P55-Q55-R55-S55-T55-U55-V55-W55-X55-Y55-Z55-AA55-AB55)&lt;=BG54,(D55-F55-G55-H55-I55-J55-K55-L55-M55-N55-O55-P55-Q55-R55-S55-T55-U55-V55-W55-X55-Y55-Z55-AA55-AB55),BG54))&gt;0,(IF((D55-F55-G55-H55-I55-J55-K55-L55-M55-N55-O55-P55-Q55-R55-S55-T55-U55-V55-W55-X55-Y55-Z55-AA55-AB55)&lt;=BG54,(D55-F55-G55-H55-I55-J55-K55-L55-M55-N55-O55-P55-Q55-R55-S55-T55-U55-V55-W55-X55-Y55-Z55-AA55-AB55),BG54)),0)</f>
        <v>0</v>
      </c>
      <c r="AD55" s="52">
        <f t="shared" ref="AD55:AD71" si="46">IF((IF((D55-F55-G55-H55-I55-J55-K55-L55-M55-N55-O55-P55-Q55-R55-S55-T55-U55-V55-W55-X55-Y55-Z55-AA55-AB55-AC55)&lt;=BH54,(D55-F55-G55-H55-I55-J55-K55-L55-M55-N55-O55-P55-Q55-R55-S55-T55-U55-V55-W55-X55-Y55-Z55-AA55-AB55-AC55),BH54))&gt;0,(IF((D55-F55-G55-H55-I55-J55-K55-L55-M55-N55-O55-P55-Q55-R55-S55-T55-U55-V55-W55-X55-Y55-Z55-AA55-AB55-AC55)&lt;=BH54,(D55-F55-G55-H55-I55-J55-K55-L55-M55-N55-O55-P55-Q55-R55-S55-T55-U55-V55-W55-X55-Y55-Z55-AA55-AB55-AC55),BH54)),0)</f>
        <v>0</v>
      </c>
      <c r="AE55" s="52">
        <f t="shared" ref="AE55:AE70" si="47">IF((IF((D55-F55-G55-H55-I55-J55-K55-L55-M55-N55-O55-P55-Q55-R55-S55-T55-U55-V55-W55-X55-Y55-Z55-AA55-AB55-AC55-AD55)&lt;=BI54,(D55-F55-G55-H55-I55-J55-K55-L55-M55-N55-O55-P55-Q55-R55-S55-T55-U55-V55-W55-X55-Y55-Z55-AA55-AB55-AC55-AD55),BI54))&gt;0,(IF((D55-F55-G55-H55-I55-J55-K55-L55-M55-N55-O55-P55-Q55-R55-S55-T55-U55-V55-W55-X55-Y55-Z55-AA55-AB55-AC55-AD55)&lt;=BI54,(D55-F55-G55-H55-I55-J55-K55-L55-M55-N55-O55-P55-Q55-R55-S55-T55-U55-V55-W55-X55-Y55-Z55-AA55-AB55-AC55-AD55),BI54)),0)</f>
        <v>0</v>
      </c>
      <c r="AF55" s="52">
        <f t="shared" ref="AF55:AF71" si="48">IF((IF((D55-F55-G55-H55-I55-J55-K55-L55-M55-N55-O55-P55-Q55-R55-S55-T55-U55-V55-W55-X55-Y55-Z55-AA55-AB55-AC55-AD55-AE55)&lt;=BJ54,(D55-F55-G55-H55-I55-J55-K55-L55-M55-N55-O55-P55-Q55-R55-S55-T55-U55-V55-W55-X55-Y55-Z55-AA55-AB55-AC55-AD55-AE55),BJ54))&gt;0,(IF((D55-F55-G55-H55-I55-J55-K55-L55-M55-N55-O55-P55-Q55-R55-S55-T55-U55-V55-W55-X55-Y55-Z55-AA55-AB55-AC55-AD55-AE55)&lt;=BJ54,(D55-F55-G55-H55-I55-J55-K55-L55-M55-N55-O55-P55-Q55-R55-S55-T55-U55-V55-W55-X55-Y55-Z55-AA55-AB55-AC55-AD55-AE55),BJ54)),0)</f>
        <v>0</v>
      </c>
      <c r="AG55" s="52">
        <f t="shared" ref="AG55:AG71" si="49">IF((IF((D55-F55-G55-H55-I55-J55-K55-L55-M55-N55-O55-P55-Q55-R55-S55-T55-U55-V55-W55-X55-Y55-Z55-AA55-AB55-AC55-AD55-AE55-AF55)&lt;=BK54,(D55-F55-G55-H55-I55-J55-K55-L55-M55-N55-O55-P55-Q55-R55-S55-T55-U55-V55-W55-X55-Y55-Z55-AA55-AB55-AC55-AD55-AE55-AF55),BK54))&gt;0,(IF((D55-F55-G55-H55-I55-J55-K55-L55-M55-N55-O55-P55-Q55-R55-S55-T55-U55-V55-W55-X55-Y55-Z55-AA55-AB55-AC55-AD55-AE55-AF55)&lt;=BK54,(D55-F55-G55-H55-I55-J55-K55-L55-M55-N55-O55-P55-Q55-R55-S55-T55-U55-V55-W55-X55-Y55-Z55-AA55-AB55-AC55-AD55-AE55-AF55),BK54)),0)</f>
        <v>0</v>
      </c>
      <c r="AH55" s="52">
        <f t="shared" ref="AH55:AH71" si="50">IF((IF((D55-F55-G55-H55-I55-J55-K55-L55-M55-N55-O55-P55-Q55-R55-S55-T55-U55-V55-W55-X55-Y55-Z55-AA55-AB55-AC55-AD55-AE55-AF55-AG55)&lt;=BL54,(D55-F55-G55-H55-I55-J55-K55-L55-M55-N55-O55-P55-Q55-R55-S55-T55-U55-V55-W55-X55-Y55-Z55-AA55-AB55-AC55-AD55-AE55-AF55-AG55),BL54))&gt;0,(IF((D55-F55-G55-H55-I55-J55-K55-L55-M55-N55-O55-P55-Q55-R55-S55-T55-U55-V55-W55-X55-Y55-Z55-AA55-AB55-AC55-AD55-AE55-AF55-AG55)&lt;=BL54,(D55-F55-G55-H55-I55-J55-K55-L55-M55-N55-O55-P55-Q55-R55-S55-T55-U55-V55-W55-X55-Y55-Z55-AA55-AB55-AC55-AD55-AE55-AF55-AG55),BL54)),0)</f>
        <v>0</v>
      </c>
      <c r="AI55" s="83">
        <f t="shared" ref="AI55:AI71" si="51">IF((IF((D55-F55-G55-H55-I55-J55-K55-L55-M55-N55-O55-P55-Q55-R55-S55-T55-U55-V55-W55-X55-Y55-Z55-AA55-AB55-AC55-AD55-AE55-AF55-AG55-AH55)&lt;=BM54,(D55-F55-G55-H55-I55-J55-K55-L55-M55-N55-O55-P55-Q55-R55-S55-T55-U55-V55-W55-X55-Y55-Z55-AA55-AB55-AC55-AD55-AE55-AF55-AG55-AH55),BM54))&gt;0,(IF((D55-F55-G55-H55-I55-J55-K55-L55-M55-N55-O55-P55-Q55-R55-S55-T55-U55-V55-W55-X55-Y55-Z55-AA55-AB55-AC55-AD55-AE55-AF55-AG55-AH55)&lt;=BM54,(D55-F55-G55-H55-I55-J55-K55-L55-M55-N55-O55-P55-Q55-R55-S55-T55-U55-V55-W55-X55-Y55-Z55-AA55-AB55-AC55-AD55-AE55-AF55-AG55-AH55),BM54)),0)</f>
        <v>0</v>
      </c>
      <c r="AJ55" s="84">
        <f t="shared" si="33"/>
        <v>0</v>
      </c>
      <c r="AK55" s="52">
        <f t="shared" si="33"/>
        <v>0</v>
      </c>
      <c r="AL55" s="52">
        <f t="shared" si="33"/>
        <v>0</v>
      </c>
      <c r="AM55" s="52">
        <f t="shared" si="33"/>
        <v>0</v>
      </c>
      <c r="AN55" s="52">
        <f t="shared" si="33"/>
        <v>350000</v>
      </c>
      <c r="AO55" s="52">
        <f t="shared" si="33"/>
        <v>500000</v>
      </c>
      <c r="AP55" s="52">
        <f t="shared" si="33"/>
        <v>500000</v>
      </c>
      <c r="AQ55" s="52">
        <f t="shared" si="33"/>
        <v>500000</v>
      </c>
      <c r="AR55" s="52">
        <f t="shared" si="33"/>
        <v>500000</v>
      </c>
      <c r="AS55" s="52">
        <f t="shared" si="33"/>
        <v>500000</v>
      </c>
      <c r="AT55" s="52">
        <f t="shared" si="33"/>
        <v>500000</v>
      </c>
      <c r="AU55" s="52">
        <f t="shared" si="33"/>
        <v>500000</v>
      </c>
      <c r="AV55" s="52">
        <f t="shared" si="33"/>
        <v>500000</v>
      </c>
      <c r="AW55" s="52">
        <f t="shared" si="33"/>
        <v>500000</v>
      </c>
      <c r="AX55" s="52">
        <f t="shared" si="33"/>
        <v>500000</v>
      </c>
      <c r="AY55" s="52">
        <f t="shared" si="34"/>
        <v>500000</v>
      </c>
      <c r="AZ55" s="52">
        <f t="shared" si="34"/>
        <v>500000</v>
      </c>
      <c r="BA55" s="52">
        <f t="shared" si="34"/>
        <v>500000</v>
      </c>
      <c r="BB55" s="52">
        <f t="shared" si="34"/>
        <v>500000</v>
      </c>
      <c r="BC55" s="52">
        <f t="shared" si="34"/>
        <v>500000</v>
      </c>
      <c r="BD55" s="52">
        <f t="shared" si="34"/>
        <v>500000</v>
      </c>
      <c r="BE55" s="52">
        <f t="shared" si="34"/>
        <v>500000</v>
      </c>
      <c r="BF55" s="52">
        <f t="shared" si="34"/>
        <v>500000</v>
      </c>
      <c r="BG55" s="52">
        <f t="shared" si="34"/>
        <v>500000</v>
      </c>
      <c r="BH55" s="52">
        <f t="shared" si="34"/>
        <v>500000</v>
      </c>
      <c r="BI55" s="52">
        <f t="shared" si="34"/>
        <v>500000</v>
      </c>
      <c r="BJ55" s="52">
        <f t="shared" si="34"/>
        <v>500000</v>
      </c>
      <c r="BK55" s="52">
        <f t="shared" si="34"/>
        <v>500000</v>
      </c>
      <c r="BL55" s="52">
        <f t="shared" si="34"/>
        <v>500000</v>
      </c>
      <c r="BM55" s="85">
        <f t="shared" si="34"/>
        <v>500000</v>
      </c>
      <c r="BN55" s="42"/>
    </row>
    <row r="56" spans="1:66" s="1" customFormat="1" x14ac:dyDescent="0.25">
      <c r="A56" s="78">
        <f t="shared" si="35"/>
        <v>1262500</v>
      </c>
      <c r="B56" s="45" t="s">
        <v>23</v>
      </c>
      <c r="C56" s="3">
        <v>800000</v>
      </c>
      <c r="D56" s="52">
        <f t="shared" si="36"/>
        <v>800000</v>
      </c>
      <c r="E56" s="80">
        <f t="shared" si="18"/>
        <v>0.63366336633663367</v>
      </c>
      <c r="F56" s="52">
        <f t="shared" si="19"/>
        <v>0</v>
      </c>
      <c r="G56" s="52">
        <f t="shared" si="20"/>
        <v>0</v>
      </c>
      <c r="H56" s="52">
        <f t="shared" si="21"/>
        <v>0</v>
      </c>
      <c r="I56" s="52">
        <f t="shared" si="22"/>
        <v>0</v>
      </c>
      <c r="J56" s="52">
        <f t="shared" si="23"/>
        <v>350000</v>
      </c>
      <c r="K56" s="83">
        <f t="shared" si="24"/>
        <v>450000</v>
      </c>
      <c r="L56" s="82">
        <f t="shared" si="25"/>
        <v>0</v>
      </c>
      <c r="M56" s="82">
        <f t="shared" si="26"/>
        <v>0</v>
      </c>
      <c r="N56" s="82">
        <f t="shared" si="27"/>
        <v>0</v>
      </c>
      <c r="O56" s="82">
        <f t="shared" si="28"/>
        <v>0</v>
      </c>
      <c r="P56" s="82">
        <f t="shared" si="29"/>
        <v>0</v>
      </c>
      <c r="Q56" s="82">
        <f t="shared" si="30"/>
        <v>0</v>
      </c>
      <c r="R56" s="82">
        <f t="shared" si="31"/>
        <v>0</v>
      </c>
      <c r="S56" s="52">
        <f t="shared" si="32"/>
        <v>0</v>
      </c>
      <c r="T56" s="52">
        <f t="shared" ref="T56:T71" si="52">IF((IF((D56-F56-G56-H56-I56-J56-K56-L56-M56-N56-O56-P56-Q56-R56-S56)&lt;=AX55,(D56-F56-G56-H56-I56-J56-K56-L56-M56-N56-O56-P56-Q56-R56-S56),AX55))&gt;0,(IF((D56-F56-G56-H56-I56-J56-K56-L56-M56-N56-O56-P56-Q56-R56-S56)&lt;=AX55,(D56-F56-G56-H56-I56-J56-K56-L56-M56-N56-O56-P56-Q56-R56-S56),AX55)),0)</f>
        <v>0</v>
      </c>
      <c r="U56" s="52">
        <f t="shared" si="37"/>
        <v>0</v>
      </c>
      <c r="V56" s="52">
        <f t="shared" si="38"/>
        <v>0</v>
      </c>
      <c r="W56" s="52">
        <f t="shared" si="39"/>
        <v>0</v>
      </c>
      <c r="X56" s="52">
        <f t="shared" si="40"/>
        <v>0</v>
      </c>
      <c r="Y56" s="52">
        <f t="shared" si="41"/>
        <v>0</v>
      </c>
      <c r="Z56" s="52">
        <f t="shared" si="42"/>
        <v>0</v>
      </c>
      <c r="AA56" s="52">
        <f t="shared" si="43"/>
        <v>0</v>
      </c>
      <c r="AB56" s="52">
        <f t="shared" si="44"/>
        <v>0</v>
      </c>
      <c r="AC56" s="52">
        <f t="shared" si="45"/>
        <v>0</v>
      </c>
      <c r="AD56" s="52">
        <f t="shared" si="46"/>
        <v>0</v>
      </c>
      <c r="AE56" s="52">
        <f t="shared" si="47"/>
        <v>0</v>
      </c>
      <c r="AF56" s="52">
        <f t="shared" si="48"/>
        <v>0</v>
      </c>
      <c r="AG56" s="52">
        <f t="shared" si="49"/>
        <v>0</v>
      </c>
      <c r="AH56" s="52">
        <f t="shared" si="50"/>
        <v>0</v>
      </c>
      <c r="AI56" s="83">
        <f t="shared" si="51"/>
        <v>0</v>
      </c>
      <c r="AJ56" s="84">
        <f t="shared" ref="AJ56:AJ71" si="53">AJ55-F56</f>
        <v>0</v>
      </c>
      <c r="AK56" s="52">
        <f t="shared" ref="AK56:AK71" si="54">AK55-G56</f>
        <v>0</v>
      </c>
      <c r="AL56" s="52">
        <f t="shared" ref="AL56:AL71" si="55">AL55-H56</f>
        <v>0</v>
      </c>
      <c r="AM56" s="52">
        <f t="shared" ref="AM56:AM71" si="56">AM55-I56</f>
        <v>0</v>
      </c>
      <c r="AN56" s="52">
        <f t="shared" ref="AN56:AN71" si="57">AN55-J56</f>
        <v>0</v>
      </c>
      <c r="AO56" s="52">
        <f t="shared" ref="AO56:AO71" si="58">AO55-K56</f>
        <v>50000</v>
      </c>
      <c r="AP56" s="52">
        <f t="shared" ref="AP56:AP71" si="59">AP55-L56</f>
        <v>500000</v>
      </c>
      <c r="AQ56" s="52">
        <f t="shared" ref="AQ56:AQ71" si="60">AQ55-M56</f>
        <v>500000</v>
      </c>
      <c r="AR56" s="52">
        <f t="shared" ref="AR56:AR71" si="61">AR55-N56</f>
        <v>500000</v>
      </c>
      <c r="AS56" s="52">
        <f t="shared" ref="AS56:AS71" si="62">AS55-O56</f>
        <v>500000</v>
      </c>
      <c r="AT56" s="52">
        <f t="shared" ref="AT56:AT71" si="63">AT55-P56</f>
        <v>500000</v>
      </c>
      <c r="AU56" s="52">
        <f t="shared" ref="AU56:AU71" si="64">AU55-Q56</f>
        <v>500000</v>
      </c>
      <c r="AV56" s="52">
        <f t="shared" ref="AV56:AV71" si="65">AV55-R56</f>
        <v>500000</v>
      </c>
      <c r="AW56" s="52">
        <f t="shared" ref="AW56:AW71" si="66">AW55-S56</f>
        <v>500000</v>
      </c>
      <c r="AX56" s="52">
        <f t="shared" ref="AX56:AX71" si="67">AX55-T56</f>
        <v>500000</v>
      </c>
      <c r="AY56" s="52">
        <f t="shared" si="34"/>
        <v>500000</v>
      </c>
      <c r="AZ56" s="52">
        <f t="shared" si="34"/>
        <v>500000</v>
      </c>
      <c r="BA56" s="52">
        <f t="shared" si="34"/>
        <v>500000</v>
      </c>
      <c r="BB56" s="52">
        <f t="shared" si="34"/>
        <v>500000</v>
      </c>
      <c r="BC56" s="52">
        <f t="shared" si="34"/>
        <v>500000</v>
      </c>
      <c r="BD56" s="52">
        <f t="shared" si="34"/>
        <v>500000</v>
      </c>
      <c r="BE56" s="52">
        <f t="shared" si="34"/>
        <v>500000</v>
      </c>
      <c r="BF56" s="52">
        <f t="shared" si="34"/>
        <v>500000</v>
      </c>
      <c r="BG56" s="52">
        <f t="shared" si="34"/>
        <v>500000</v>
      </c>
      <c r="BH56" s="52">
        <f t="shared" si="34"/>
        <v>500000</v>
      </c>
      <c r="BI56" s="52">
        <f t="shared" si="34"/>
        <v>500000</v>
      </c>
      <c r="BJ56" s="52">
        <f t="shared" si="34"/>
        <v>500000</v>
      </c>
      <c r="BK56" s="52">
        <f t="shared" si="34"/>
        <v>500000</v>
      </c>
      <c r="BL56" s="52">
        <f t="shared" si="34"/>
        <v>500000</v>
      </c>
      <c r="BM56" s="85">
        <f t="shared" si="34"/>
        <v>500000</v>
      </c>
      <c r="BN56" s="42"/>
    </row>
    <row r="57" spans="1:66" s="1" customFormat="1" x14ac:dyDescent="0.25">
      <c r="A57" s="78">
        <f t="shared" si="35"/>
        <v>918055.5555555555</v>
      </c>
      <c r="B57" s="45" t="s">
        <v>24</v>
      </c>
      <c r="C57" s="3">
        <v>850000</v>
      </c>
      <c r="D57" s="52">
        <f t="shared" si="36"/>
        <v>850000</v>
      </c>
      <c r="E57" s="80">
        <f t="shared" si="18"/>
        <v>0.92586989409984877</v>
      </c>
      <c r="F57" s="52">
        <f t="shared" si="19"/>
        <v>0</v>
      </c>
      <c r="G57" s="52">
        <f t="shared" si="20"/>
        <v>0</v>
      </c>
      <c r="H57" s="52">
        <f t="shared" si="21"/>
        <v>0</v>
      </c>
      <c r="I57" s="52">
        <f t="shared" si="22"/>
        <v>0</v>
      </c>
      <c r="J57" s="52">
        <f t="shared" si="23"/>
        <v>0</v>
      </c>
      <c r="K57" s="83">
        <f t="shared" si="24"/>
        <v>50000</v>
      </c>
      <c r="L57" s="82">
        <f t="shared" si="25"/>
        <v>500000</v>
      </c>
      <c r="M57" s="82">
        <f t="shared" si="26"/>
        <v>300000</v>
      </c>
      <c r="N57" s="82">
        <f t="shared" si="27"/>
        <v>0</v>
      </c>
      <c r="O57" s="82">
        <f t="shared" si="28"/>
        <v>0</v>
      </c>
      <c r="P57" s="82">
        <f t="shared" si="29"/>
        <v>0</v>
      </c>
      <c r="Q57" s="82">
        <f t="shared" si="30"/>
        <v>0</v>
      </c>
      <c r="R57" s="82">
        <f t="shared" si="31"/>
        <v>0</v>
      </c>
      <c r="S57" s="52">
        <f t="shared" si="32"/>
        <v>0</v>
      </c>
      <c r="T57" s="52">
        <f t="shared" si="52"/>
        <v>0</v>
      </c>
      <c r="U57" s="52">
        <f t="shared" si="37"/>
        <v>0</v>
      </c>
      <c r="V57" s="52">
        <f t="shared" si="38"/>
        <v>0</v>
      </c>
      <c r="W57" s="52">
        <f t="shared" si="39"/>
        <v>0</v>
      </c>
      <c r="X57" s="52">
        <f t="shared" si="40"/>
        <v>0</v>
      </c>
      <c r="Y57" s="52">
        <f t="shared" si="41"/>
        <v>0</v>
      </c>
      <c r="Z57" s="52">
        <f t="shared" si="42"/>
        <v>0</v>
      </c>
      <c r="AA57" s="52">
        <f t="shared" si="43"/>
        <v>0</v>
      </c>
      <c r="AB57" s="52">
        <f t="shared" si="44"/>
        <v>0</v>
      </c>
      <c r="AC57" s="52">
        <f t="shared" si="45"/>
        <v>0</v>
      </c>
      <c r="AD57" s="52">
        <f t="shared" si="46"/>
        <v>0</v>
      </c>
      <c r="AE57" s="52">
        <f t="shared" si="47"/>
        <v>0</v>
      </c>
      <c r="AF57" s="52">
        <f t="shared" si="48"/>
        <v>0</v>
      </c>
      <c r="AG57" s="52">
        <f t="shared" si="49"/>
        <v>0</v>
      </c>
      <c r="AH57" s="52">
        <f t="shared" si="50"/>
        <v>0</v>
      </c>
      <c r="AI57" s="83">
        <f t="shared" si="51"/>
        <v>0</v>
      </c>
      <c r="AJ57" s="84">
        <f t="shared" si="53"/>
        <v>0</v>
      </c>
      <c r="AK57" s="52">
        <f t="shared" si="54"/>
        <v>0</v>
      </c>
      <c r="AL57" s="52">
        <f t="shared" si="55"/>
        <v>0</v>
      </c>
      <c r="AM57" s="52">
        <f t="shared" si="56"/>
        <v>0</v>
      </c>
      <c r="AN57" s="52">
        <f t="shared" si="57"/>
        <v>0</v>
      </c>
      <c r="AO57" s="52">
        <f t="shared" si="58"/>
        <v>0</v>
      </c>
      <c r="AP57" s="52">
        <f t="shared" si="59"/>
        <v>0</v>
      </c>
      <c r="AQ57" s="52">
        <f t="shared" si="60"/>
        <v>200000</v>
      </c>
      <c r="AR57" s="52">
        <f t="shared" si="61"/>
        <v>500000</v>
      </c>
      <c r="AS57" s="52">
        <f t="shared" si="62"/>
        <v>500000</v>
      </c>
      <c r="AT57" s="52">
        <f t="shared" si="63"/>
        <v>500000</v>
      </c>
      <c r="AU57" s="52">
        <f t="shared" si="64"/>
        <v>500000</v>
      </c>
      <c r="AV57" s="52">
        <f t="shared" si="65"/>
        <v>500000</v>
      </c>
      <c r="AW57" s="52">
        <f t="shared" si="66"/>
        <v>500000</v>
      </c>
      <c r="AX57" s="52">
        <f t="shared" si="67"/>
        <v>500000</v>
      </c>
      <c r="AY57" s="52">
        <f t="shared" si="34"/>
        <v>500000</v>
      </c>
      <c r="AZ57" s="52">
        <f t="shared" si="34"/>
        <v>500000</v>
      </c>
      <c r="BA57" s="52">
        <f t="shared" si="34"/>
        <v>500000</v>
      </c>
      <c r="BB57" s="52">
        <f t="shared" si="34"/>
        <v>500000</v>
      </c>
      <c r="BC57" s="52">
        <f t="shared" si="34"/>
        <v>500000</v>
      </c>
      <c r="BD57" s="52">
        <f t="shared" si="34"/>
        <v>500000</v>
      </c>
      <c r="BE57" s="52">
        <f t="shared" si="34"/>
        <v>500000</v>
      </c>
      <c r="BF57" s="52">
        <f t="shared" si="34"/>
        <v>500000</v>
      </c>
      <c r="BG57" s="52">
        <f t="shared" si="34"/>
        <v>500000</v>
      </c>
      <c r="BH57" s="52">
        <f t="shared" si="34"/>
        <v>500000</v>
      </c>
      <c r="BI57" s="52">
        <f t="shared" si="34"/>
        <v>500000</v>
      </c>
      <c r="BJ57" s="52">
        <f t="shared" si="34"/>
        <v>500000</v>
      </c>
      <c r="BK57" s="52">
        <f t="shared" si="34"/>
        <v>500000</v>
      </c>
      <c r="BL57" s="52">
        <f t="shared" si="34"/>
        <v>500000</v>
      </c>
      <c r="BM57" s="85">
        <f t="shared" si="34"/>
        <v>500000</v>
      </c>
      <c r="BN57" s="42"/>
    </row>
    <row r="58" spans="1:66" s="1" customFormat="1" x14ac:dyDescent="0.25">
      <c r="A58" s="78">
        <f t="shared" si="35"/>
        <v>904545.45454545459</v>
      </c>
      <c r="B58" s="45" t="s">
        <v>25</v>
      </c>
      <c r="C58" s="3">
        <v>1000000</v>
      </c>
      <c r="D58" s="52">
        <f t="shared" si="36"/>
        <v>1000000</v>
      </c>
      <c r="E58" s="80">
        <f t="shared" si="18"/>
        <v>1.1055276381909547</v>
      </c>
      <c r="F58" s="52">
        <f t="shared" si="19"/>
        <v>0</v>
      </c>
      <c r="G58" s="52">
        <f t="shared" si="20"/>
        <v>0</v>
      </c>
      <c r="H58" s="52">
        <f t="shared" si="21"/>
        <v>0</v>
      </c>
      <c r="I58" s="52">
        <f t="shared" si="22"/>
        <v>0</v>
      </c>
      <c r="J58" s="52">
        <f t="shared" si="23"/>
        <v>0</v>
      </c>
      <c r="K58" s="83">
        <f t="shared" si="24"/>
        <v>0</v>
      </c>
      <c r="L58" s="82">
        <f t="shared" si="25"/>
        <v>0</v>
      </c>
      <c r="M58" s="82">
        <f t="shared" si="26"/>
        <v>200000</v>
      </c>
      <c r="N58" s="82">
        <f t="shared" si="27"/>
        <v>500000</v>
      </c>
      <c r="O58" s="82">
        <f t="shared" si="28"/>
        <v>300000</v>
      </c>
      <c r="P58" s="82">
        <f t="shared" si="29"/>
        <v>0</v>
      </c>
      <c r="Q58" s="82">
        <f t="shared" si="30"/>
        <v>0</v>
      </c>
      <c r="R58" s="82">
        <f t="shared" si="31"/>
        <v>0</v>
      </c>
      <c r="S58" s="52">
        <f t="shared" si="32"/>
        <v>0</v>
      </c>
      <c r="T58" s="52">
        <f t="shared" si="52"/>
        <v>0</v>
      </c>
      <c r="U58" s="52">
        <f t="shared" si="37"/>
        <v>0</v>
      </c>
      <c r="V58" s="52">
        <f t="shared" si="38"/>
        <v>0</v>
      </c>
      <c r="W58" s="52">
        <f t="shared" si="39"/>
        <v>0</v>
      </c>
      <c r="X58" s="52">
        <f t="shared" si="40"/>
        <v>0</v>
      </c>
      <c r="Y58" s="52">
        <f t="shared" si="41"/>
        <v>0</v>
      </c>
      <c r="Z58" s="52">
        <f t="shared" si="42"/>
        <v>0</v>
      </c>
      <c r="AA58" s="52">
        <f t="shared" si="43"/>
        <v>0</v>
      </c>
      <c r="AB58" s="52">
        <f t="shared" si="44"/>
        <v>0</v>
      </c>
      <c r="AC58" s="52">
        <f t="shared" si="45"/>
        <v>0</v>
      </c>
      <c r="AD58" s="52">
        <f t="shared" si="46"/>
        <v>0</v>
      </c>
      <c r="AE58" s="52">
        <f t="shared" si="47"/>
        <v>0</v>
      </c>
      <c r="AF58" s="52">
        <f t="shared" si="48"/>
        <v>0</v>
      </c>
      <c r="AG58" s="52">
        <f t="shared" si="49"/>
        <v>0</v>
      </c>
      <c r="AH58" s="52">
        <f t="shared" si="50"/>
        <v>0</v>
      </c>
      <c r="AI58" s="83">
        <f t="shared" si="51"/>
        <v>0</v>
      </c>
      <c r="AJ58" s="84">
        <f t="shared" si="53"/>
        <v>0</v>
      </c>
      <c r="AK58" s="52">
        <f t="shared" si="54"/>
        <v>0</v>
      </c>
      <c r="AL58" s="52">
        <f t="shared" si="55"/>
        <v>0</v>
      </c>
      <c r="AM58" s="52">
        <f t="shared" si="56"/>
        <v>0</v>
      </c>
      <c r="AN58" s="52">
        <f t="shared" si="57"/>
        <v>0</v>
      </c>
      <c r="AO58" s="52">
        <f t="shared" si="58"/>
        <v>0</v>
      </c>
      <c r="AP58" s="52">
        <f t="shared" si="59"/>
        <v>0</v>
      </c>
      <c r="AQ58" s="52">
        <f t="shared" si="60"/>
        <v>0</v>
      </c>
      <c r="AR58" s="52">
        <f t="shared" si="61"/>
        <v>0</v>
      </c>
      <c r="AS58" s="52">
        <f t="shared" si="62"/>
        <v>200000</v>
      </c>
      <c r="AT58" s="52">
        <f t="shared" si="63"/>
        <v>500000</v>
      </c>
      <c r="AU58" s="52">
        <f t="shared" si="64"/>
        <v>500000</v>
      </c>
      <c r="AV58" s="52">
        <f t="shared" si="65"/>
        <v>500000</v>
      </c>
      <c r="AW58" s="52">
        <f t="shared" si="66"/>
        <v>500000</v>
      </c>
      <c r="AX58" s="52">
        <f t="shared" si="67"/>
        <v>500000</v>
      </c>
      <c r="AY58" s="52">
        <f t="shared" si="34"/>
        <v>500000</v>
      </c>
      <c r="AZ58" s="52">
        <f t="shared" si="34"/>
        <v>500000</v>
      </c>
      <c r="BA58" s="52">
        <f t="shared" si="34"/>
        <v>500000</v>
      </c>
      <c r="BB58" s="52">
        <f t="shared" si="34"/>
        <v>500000</v>
      </c>
      <c r="BC58" s="52">
        <f t="shared" si="34"/>
        <v>500000</v>
      </c>
      <c r="BD58" s="52">
        <f t="shared" si="34"/>
        <v>500000</v>
      </c>
      <c r="BE58" s="52">
        <f t="shared" si="34"/>
        <v>500000</v>
      </c>
      <c r="BF58" s="52">
        <f t="shared" si="34"/>
        <v>500000</v>
      </c>
      <c r="BG58" s="52">
        <f t="shared" si="34"/>
        <v>500000</v>
      </c>
      <c r="BH58" s="52">
        <f t="shared" si="34"/>
        <v>500000</v>
      </c>
      <c r="BI58" s="52">
        <f t="shared" si="34"/>
        <v>500000</v>
      </c>
      <c r="BJ58" s="52">
        <f t="shared" si="34"/>
        <v>500000</v>
      </c>
      <c r="BK58" s="52">
        <f t="shared" si="34"/>
        <v>500000</v>
      </c>
      <c r="BL58" s="52">
        <f t="shared" si="34"/>
        <v>500000</v>
      </c>
      <c r="BM58" s="85">
        <f t="shared" si="34"/>
        <v>500000</v>
      </c>
      <c r="BN58" s="42"/>
    </row>
    <row r="59" spans="1:66" s="1" customFormat="1" x14ac:dyDescent="0.25">
      <c r="A59" s="78">
        <f t="shared" si="35"/>
        <v>765567.76556776534</v>
      </c>
      <c r="B59" s="45" t="s">
        <v>26</v>
      </c>
      <c r="C59" s="3">
        <v>1000000</v>
      </c>
      <c r="D59" s="52">
        <f t="shared" si="36"/>
        <v>1000000</v>
      </c>
      <c r="E59" s="80">
        <f t="shared" si="18"/>
        <v>1.3062200956937804</v>
      </c>
      <c r="F59" s="52">
        <f t="shared" si="19"/>
        <v>0</v>
      </c>
      <c r="G59" s="52">
        <f t="shared" si="20"/>
        <v>0</v>
      </c>
      <c r="H59" s="52">
        <f t="shared" si="21"/>
        <v>0</v>
      </c>
      <c r="I59" s="52">
        <f t="shared" si="22"/>
        <v>0</v>
      </c>
      <c r="J59" s="52">
        <f t="shared" si="23"/>
        <v>0</v>
      </c>
      <c r="K59" s="83">
        <f t="shared" si="24"/>
        <v>0</v>
      </c>
      <c r="L59" s="82">
        <f t="shared" si="25"/>
        <v>0</v>
      </c>
      <c r="M59" s="82">
        <f t="shared" si="26"/>
        <v>0</v>
      </c>
      <c r="N59" s="82">
        <f t="shared" si="27"/>
        <v>0</v>
      </c>
      <c r="O59" s="82">
        <f t="shared" si="28"/>
        <v>200000</v>
      </c>
      <c r="P59" s="82">
        <f t="shared" si="29"/>
        <v>500000</v>
      </c>
      <c r="Q59" s="82">
        <f t="shared" si="30"/>
        <v>300000</v>
      </c>
      <c r="R59" s="82">
        <f t="shared" si="31"/>
        <v>0</v>
      </c>
      <c r="S59" s="52">
        <f t="shared" si="32"/>
        <v>0</v>
      </c>
      <c r="T59" s="52">
        <f t="shared" si="52"/>
        <v>0</v>
      </c>
      <c r="U59" s="52">
        <f t="shared" si="37"/>
        <v>0</v>
      </c>
      <c r="V59" s="52">
        <f t="shared" si="38"/>
        <v>0</v>
      </c>
      <c r="W59" s="52">
        <f t="shared" si="39"/>
        <v>0</v>
      </c>
      <c r="X59" s="52">
        <f t="shared" si="40"/>
        <v>0</v>
      </c>
      <c r="Y59" s="52">
        <f t="shared" si="41"/>
        <v>0</v>
      </c>
      <c r="Z59" s="52">
        <f t="shared" si="42"/>
        <v>0</v>
      </c>
      <c r="AA59" s="52">
        <f t="shared" si="43"/>
        <v>0</v>
      </c>
      <c r="AB59" s="52">
        <f t="shared" si="44"/>
        <v>0</v>
      </c>
      <c r="AC59" s="52">
        <f t="shared" si="45"/>
        <v>0</v>
      </c>
      <c r="AD59" s="52">
        <f t="shared" si="46"/>
        <v>0</v>
      </c>
      <c r="AE59" s="52">
        <f t="shared" si="47"/>
        <v>0</v>
      </c>
      <c r="AF59" s="52">
        <f t="shared" si="48"/>
        <v>0</v>
      </c>
      <c r="AG59" s="52">
        <f t="shared" si="49"/>
        <v>0</v>
      </c>
      <c r="AH59" s="52">
        <f t="shared" si="50"/>
        <v>0</v>
      </c>
      <c r="AI59" s="83">
        <f t="shared" si="51"/>
        <v>0</v>
      </c>
      <c r="AJ59" s="84">
        <f t="shared" si="53"/>
        <v>0</v>
      </c>
      <c r="AK59" s="52">
        <f t="shared" si="54"/>
        <v>0</v>
      </c>
      <c r="AL59" s="52">
        <f t="shared" si="55"/>
        <v>0</v>
      </c>
      <c r="AM59" s="52">
        <f t="shared" si="56"/>
        <v>0</v>
      </c>
      <c r="AN59" s="52">
        <f t="shared" si="57"/>
        <v>0</v>
      </c>
      <c r="AO59" s="52">
        <f t="shared" si="58"/>
        <v>0</v>
      </c>
      <c r="AP59" s="52">
        <f t="shared" si="59"/>
        <v>0</v>
      </c>
      <c r="AQ59" s="52">
        <f t="shared" si="60"/>
        <v>0</v>
      </c>
      <c r="AR59" s="52">
        <f t="shared" si="61"/>
        <v>0</v>
      </c>
      <c r="AS59" s="52">
        <f t="shared" si="62"/>
        <v>0</v>
      </c>
      <c r="AT59" s="52">
        <f t="shared" si="63"/>
        <v>0</v>
      </c>
      <c r="AU59" s="52">
        <f t="shared" si="64"/>
        <v>200000</v>
      </c>
      <c r="AV59" s="52">
        <f t="shared" si="65"/>
        <v>500000</v>
      </c>
      <c r="AW59" s="52">
        <f t="shared" si="66"/>
        <v>500000</v>
      </c>
      <c r="AX59" s="52">
        <f t="shared" si="67"/>
        <v>500000</v>
      </c>
      <c r="AY59" s="52">
        <f t="shared" si="34"/>
        <v>500000</v>
      </c>
      <c r="AZ59" s="52">
        <f t="shared" si="34"/>
        <v>500000</v>
      </c>
      <c r="BA59" s="52">
        <f t="shared" si="34"/>
        <v>500000</v>
      </c>
      <c r="BB59" s="52">
        <f t="shared" si="34"/>
        <v>500000</v>
      </c>
      <c r="BC59" s="52">
        <f t="shared" si="34"/>
        <v>500000</v>
      </c>
      <c r="BD59" s="52">
        <f t="shared" si="34"/>
        <v>500000</v>
      </c>
      <c r="BE59" s="52">
        <f t="shared" si="34"/>
        <v>500000</v>
      </c>
      <c r="BF59" s="52">
        <f t="shared" si="34"/>
        <v>500000</v>
      </c>
      <c r="BG59" s="52">
        <f t="shared" si="34"/>
        <v>500000</v>
      </c>
      <c r="BH59" s="52">
        <f t="shared" si="34"/>
        <v>500000</v>
      </c>
      <c r="BI59" s="52">
        <f t="shared" si="34"/>
        <v>500000</v>
      </c>
      <c r="BJ59" s="52">
        <f t="shared" si="34"/>
        <v>500000</v>
      </c>
      <c r="BK59" s="52">
        <f t="shared" si="34"/>
        <v>500000</v>
      </c>
      <c r="BL59" s="52">
        <f t="shared" si="34"/>
        <v>500000</v>
      </c>
      <c r="BM59" s="85">
        <f t="shared" si="34"/>
        <v>500000</v>
      </c>
      <c r="BN59" s="42"/>
    </row>
    <row r="60" spans="1:66" s="1" customFormat="1" x14ac:dyDescent="0.25">
      <c r="A60" s="78">
        <f t="shared" si="35"/>
        <v>663690.47619047598</v>
      </c>
      <c r="B60" s="45" t="s">
        <v>27</v>
      </c>
      <c r="C60" s="3">
        <v>1000000</v>
      </c>
      <c r="D60" s="52">
        <f t="shared" si="36"/>
        <v>1000000</v>
      </c>
      <c r="E60" s="80">
        <f t="shared" si="18"/>
        <v>1.5067264573991037</v>
      </c>
      <c r="F60" s="52">
        <f t="shared" si="19"/>
        <v>0</v>
      </c>
      <c r="G60" s="52">
        <f t="shared" si="20"/>
        <v>0</v>
      </c>
      <c r="H60" s="52">
        <f t="shared" si="21"/>
        <v>0</v>
      </c>
      <c r="I60" s="52">
        <f t="shared" si="22"/>
        <v>0</v>
      </c>
      <c r="J60" s="52">
        <f t="shared" si="23"/>
        <v>0</v>
      </c>
      <c r="K60" s="83">
        <f t="shared" si="24"/>
        <v>0</v>
      </c>
      <c r="L60" s="82">
        <f t="shared" si="25"/>
        <v>0</v>
      </c>
      <c r="M60" s="82">
        <f t="shared" si="26"/>
        <v>0</v>
      </c>
      <c r="N60" s="82">
        <f t="shared" si="27"/>
        <v>0</v>
      </c>
      <c r="O60" s="82">
        <f t="shared" si="28"/>
        <v>0</v>
      </c>
      <c r="P60" s="82">
        <f t="shared" si="29"/>
        <v>0</v>
      </c>
      <c r="Q60" s="82">
        <f t="shared" si="30"/>
        <v>200000</v>
      </c>
      <c r="R60" s="82">
        <f t="shared" si="31"/>
        <v>500000</v>
      </c>
      <c r="S60" s="82">
        <f t="shared" si="32"/>
        <v>300000</v>
      </c>
      <c r="T60" s="52">
        <f t="shared" si="52"/>
        <v>0</v>
      </c>
      <c r="U60" s="52">
        <f t="shared" si="37"/>
        <v>0</v>
      </c>
      <c r="V60" s="52">
        <f t="shared" si="38"/>
        <v>0</v>
      </c>
      <c r="W60" s="52">
        <f t="shared" si="39"/>
        <v>0</v>
      </c>
      <c r="X60" s="52">
        <f t="shared" si="40"/>
        <v>0</v>
      </c>
      <c r="Y60" s="52">
        <f t="shared" si="41"/>
        <v>0</v>
      </c>
      <c r="Z60" s="52">
        <f t="shared" si="42"/>
        <v>0</v>
      </c>
      <c r="AA60" s="52">
        <f t="shared" si="43"/>
        <v>0</v>
      </c>
      <c r="AB60" s="52">
        <f t="shared" si="44"/>
        <v>0</v>
      </c>
      <c r="AC60" s="52">
        <f t="shared" si="45"/>
        <v>0</v>
      </c>
      <c r="AD60" s="52">
        <f t="shared" si="46"/>
        <v>0</v>
      </c>
      <c r="AE60" s="52">
        <f t="shared" si="47"/>
        <v>0</v>
      </c>
      <c r="AF60" s="52">
        <f t="shared" si="48"/>
        <v>0</v>
      </c>
      <c r="AG60" s="52">
        <f t="shared" si="49"/>
        <v>0</v>
      </c>
      <c r="AH60" s="52">
        <f t="shared" si="50"/>
        <v>0</v>
      </c>
      <c r="AI60" s="83">
        <f t="shared" si="51"/>
        <v>0</v>
      </c>
      <c r="AJ60" s="84">
        <f t="shared" si="53"/>
        <v>0</v>
      </c>
      <c r="AK60" s="52">
        <f t="shared" si="54"/>
        <v>0</v>
      </c>
      <c r="AL60" s="52">
        <f t="shared" si="55"/>
        <v>0</v>
      </c>
      <c r="AM60" s="52">
        <f t="shared" si="56"/>
        <v>0</v>
      </c>
      <c r="AN60" s="52">
        <f t="shared" si="57"/>
        <v>0</v>
      </c>
      <c r="AO60" s="52">
        <f t="shared" si="58"/>
        <v>0</v>
      </c>
      <c r="AP60" s="52">
        <f t="shared" si="59"/>
        <v>0</v>
      </c>
      <c r="AQ60" s="52">
        <f t="shared" si="60"/>
        <v>0</v>
      </c>
      <c r="AR60" s="52">
        <f t="shared" si="61"/>
        <v>0</v>
      </c>
      <c r="AS60" s="52">
        <f t="shared" si="62"/>
        <v>0</v>
      </c>
      <c r="AT60" s="52">
        <f t="shared" si="63"/>
        <v>0</v>
      </c>
      <c r="AU60" s="52">
        <f t="shared" si="64"/>
        <v>0</v>
      </c>
      <c r="AV60" s="52">
        <f t="shared" si="65"/>
        <v>0</v>
      </c>
      <c r="AW60" s="52">
        <f t="shared" si="66"/>
        <v>200000</v>
      </c>
      <c r="AX60" s="52">
        <f t="shared" si="67"/>
        <v>500000</v>
      </c>
      <c r="AY60" s="52">
        <f t="shared" si="34"/>
        <v>500000</v>
      </c>
      <c r="AZ60" s="52">
        <f t="shared" si="34"/>
        <v>500000</v>
      </c>
      <c r="BA60" s="52">
        <f t="shared" si="34"/>
        <v>500000</v>
      </c>
      <c r="BB60" s="52">
        <f t="shared" si="34"/>
        <v>500000</v>
      </c>
      <c r="BC60" s="52">
        <f t="shared" si="34"/>
        <v>500000</v>
      </c>
      <c r="BD60" s="52">
        <f t="shared" si="34"/>
        <v>500000</v>
      </c>
      <c r="BE60" s="52">
        <f t="shared" si="34"/>
        <v>500000</v>
      </c>
      <c r="BF60" s="52">
        <f t="shared" si="34"/>
        <v>500000</v>
      </c>
      <c r="BG60" s="52">
        <f t="shared" si="34"/>
        <v>500000</v>
      </c>
      <c r="BH60" s="52">
        <f t="shared" si="34"/>
        <v>500000</v>
      </c>
      <c r="BI60" s="52">
        <f t="shared" si="34"/>
        <v>500000</v>
      </c>
      <c r="BJ60" s="52">
        <f t="shared" si="34"/>
        <v>500000</v>
      </c>
      <c r="BK60" s="52">
        <f t="shared" si="34"/>
        <v>500000</v>
      </c>
      <c r="BL60" s="52">
        <f t="shared" si="34"/>
        <v>500000</v>
      </c>
      <c r="BM60" s="85">
        <f t="shared" si="34"/>
        <v>500000</v>
      </c>
      <c r="BN60" s="42"/>
    </row>
    <row r="61" spans="1:66" s="1" customFormat="1" x14ac:dyDescent="0.25">
      <c r="A61" s="78">
        <f t="shared" si="35"/>
        <v>585784.31372549001</v>
      </c>
      <c r="B61" s="45" t="s">
        <v>28</v>
      </c>
      <c r="C61" s="3">
        <v>1000000</v>
      </c>
      <c r="D61" s="52">
        <f t="shared" si="36"/>
        <v>1000000</v>
      </c>
      <c r="E61" s="80">
        <f t="shared" si="18"/>
        <v>1.7071129707112975</v>
      </c>
      <c r="F61" s="52">
        <f t="shared" si="19"/>
        <v>0</v>
      </c>
      <c r="G61" s="52">
        <f t="shared" si="20"/>
        <v>0</v>
      </c>
      <c r="H61" s="52">
        <f t="shared" si="21"/>
        <v>0</v>
      </c>
      <c r="I61" s="52">
        <f t="shared" si="22"/>
        <v>0</v>
      </c>
      <c r="J61" s="52">
        <f t="shared" si="23"/>
        <v>0</v>
      </c>
      <c r="K61" s="83">
        <f t="shared" si="24"/>
        <v>0</v>
      </c>
      <c r="L61" s="82">
        <f t="shared" si="25"/>
        <v>0</v>
      </c>
      <c r="M61" s="82">
        <f t="shared" si="26"/>
        <v>0</v>
      </c>
      <c r="N61" s="82">
        <f t="shared" si="27"/>
        <v>0</v>
      </c>
      <c r="O61" s="82">
        <f t="shared" si="28"/>
        <v>0</v>
      </c>
      <c r="P61" s="82">
        <f t="shared" si="29"/>
        <v>0</v>
      </c>
      <c r="Q61" s="82">
        <f t="shared" si="30"/>
        <v>0</v>
      </c>
      <c r="R61" s="82">
        <f t="shared" si="31"/>
        <v>0</v>
      </c>
      <c r="S61" s="83">
        <f t="shared" si="32"/>
        <v>200000</v>
      </c>
      <c r="T61" s="52">
        <f t="shared" si="52"/>
        <v>500000</v>
      </c>
      <c r="U61" s="52">
        <f t="shared" si="37"/>
        <v>300000</v>
      </c>
      <c r="V61" s="52">
        <f t="shared" si="38"/>
        <v>0</v>
      </c>
      <c r="W61" s="52">
        <f t="shared" si="39"/>
        <v>0</v>
      </c>
      <c r="X61" s="52">
        <f t="shared" si="40"/>
        <v>0</v>
      </c>
      <c r="Y61" s="52">
        <f t="shared" si="41"/>
        <v>0</v>
      </c>
      <c r="Z61" s="52">
        <f t="shared" si="42"/>
        <v>0</v>
      </c>
      <c r="AA61" s="52">
        <f t="shared" si="43"/>
        <v>0</v>
      </c>
      <c r="AB61" s="52">
        <f t="shared" si="44"/>
        <v>0</v>
      </c>
      <c r="AC61" s="52">
        <f t="shared" si="45"/>
        <v>0</v>
      </c>
      <c r="AD61" s="52">
        <f t="shared" si="46"/>
        <v>0</v>
      </c>
      <c r="AE61" s="52">
        <f t="shared" si="47"/>
        <v>0</v>
      </c>
      <c r="AF61" s="52">
        <f t="shared" si="48"/>
        <v>0</v>
      </c>
      <c r="AG61" s="52">
        <f t="shared" si="49"/>
        <v>0</v>
      </c>
      <c r="AH61" s="52">
        <f t="shared" si="50"/>
        <v>0</v>
      </c>
      <c r="AI61" s="83">
        <f t="shared" si="51"/>
        <v>0</v>
      </c>
      <c r="AJ61" s="84">
        <f t="shared" si="53"/>
        <v>0</v>
      </c>
      <c r="AK61" s="52">
        <f t="shared" si="54"/>
        <v>0</v>
      </c>
      <c r="AL61" s="52">
        <f t="shared" si="55"/>
        <v>0</v>
      </c>
      <c r="AM61" s="52">
        <f t="shared" si="56"/>
        <v>0</v>
      </c>
      <c r="AN61" s="52">
        <f t="shared" si="57"/>
        <v>0</v>
      </c>
      <c r="AO61" s="52">
        <f t="shared" si="58"/>
        <v>0</v>
      </c>
      <c r="AP61" s="52">
        <f t="shared" si="59"/>
        <v>0</v>
      </c>
      <c r="AQ61" s="52">
        <f t="shared" si="60"/>
        <v>0</v>
      </c>
      <c r="AR61" s="52">
        <f t="shared" si="61"/>
        <v>0</v>
      </c>
      <c r="AS61" s="52">
        <f t="shared" si="62"/>
        <v>0</v>
      </c>
      <c r="AT61" s="52">
        <f t="shared" si="63"/>
        <v>0</v>
      </c>
      <c r="AU61" s="52">
        <f t="shared" si="64"/>
        <v>0</v>
      </c>
      <c r="AV61" s="52">
        <f t="shared" si="65"/>
        <v>0</v>
      </c>
      <c r="AW61" s="52">
        <f t="shared" si="66"/>
        <v>0</v>
      </c>
      <c r="AX61" s="52">
        <f t="shared" si="67"/>
        <v>0</v>
      </c>
      <c r="AY61" s="52">
        <f t="shared" si="34"/>
        <v>200000</v>
      </c>
      <c r="AZ61" s="52">
        <f t="shared" si="34"/>
        <v>500000</v>
      </c>
      <c r="BA61" s="52">
        <f t="shared" si="34"/>
        <v>500000</v>
      </c>
      <c r="BB61" s="52">
        <f t="shared" si="34"/>
        <v>500000</v>
      </c>
      <c r="BC61" s="52">
        <f t="shared" si="34"/>
        <v>500000</v>
      </c>
      <c r="BD61" s="52">
        <f t="shared" si="34"/>
        <v>500000</v>
      </c>
      <c r="BE61" s="52">
        <f t="shared" si="34"/>
        <v>500000</v>
      </c>
      <c r="BF61" s="52">
        <f t="shared" si="34"/>
        <v>500000</v>
      </c>
      <c r="BG61" s="52">
        <f t="shared" si="34"/>
        <v>500000</v>
      </c>
      <c r="BH61" s="52">
        <f t="shared" si="34"/>
        <v>500000</v>
      </c>
      <c r="BI61" s="52">
        <f t="shared" si="34"/>
        <v>500000</v>
      </c>
      <c r="BJ61" s="52">
        <f t="shared" si="34"/>
        <v>500000</v>
      </c>
      <c r="BK61" s="52">
        <f t="shared" si="34"/>
        <v>500000</v>
      </c>
      <c r="BL61" s="52">
        <f t="shared" si="34"/>
        <v>500000</v>
      </c>
      <c r="BM61" s="85">
        <f t="shared" si="34"/>
        <v>500000</v>
      </c>
      <c r="BN61" s="42"/>
    </row>
    <row r="62" spans="1:66" s="1" customFormat="1" x14ac:dyDescent="0.25">
      <c r="A62" s="78">
        <f t="shared" si="35"/>
        <v>424269.00584795309</v>
      </c>
      <c r="B62" s="45" t="s">
        <v>29</v>
      </c>
      <c r="C62" s="3">
        <v>800000</v>
      </c>
      <c r="D62" s="52">
        <f t="shared" si="36"/>
        <v>800000</v>
      </c>
      <c r="E62" s="80">
        <f t="shared" si="18"/>
        <v>1.8855961405926953</v>
      </c>
      <c r="F62" s="52">
        <f t="shared" si="19"/>
        <v>0</v>
      </c>
      <c r="G62" s="52">
        <f t="shared" si="20"/>
        <v>0</v>
      </c>
      <c r="H62" s="52">
        <f t="shared" si="21"/>
        <v>0</v>
      </c>
      <c r="I62" s="52">
        <f t="shared" si="22"/>
        <v>0</v>
      </c>
      <c r="J62" s="52">
        <f t="shared" si="23"/>
        <v>0</v>
      </c>
      <c r="K62" s="83">
        <f t="shared" si="24"/>
        <v>0</v>
      </c>
      <c r="L62" s="82">
        <f t="shared" si="25"/>
        <v>0</v>
      </c>
      <c r="M62" s="82">
        <f t="shared" si="26"/>
        <v>0</v>
      </c>
      <c r="N62" s="82">
        <f t="shared" si="27"/>
        <v>0</v>
      </c>
      <c r="O62" s="82">
        <f t="shared" si="28"/>
        <v>0</v>
      </c>
      <c r="P62" s="82">
        <f t="shared" si="29"/>
        <v>0</v>
      </c>
      <c r="Q62" s="82">
        <f t="shared" si="30"/>
        <v>0</v>
      </c>
      <c r="R62" s="82">
        <f t="shared" si="31"/>
        <v>0</v>
      </c>
      <c r="S62" s="83">
        <f t="shared" si="32"/>
        <v>0</v>
      </c>
      <c r="T62" s="52">
        <f t="shared" si="52"/>
        <v>0</v>
      </c>
      <c r="U62" s="52">
        <f t="shared" si="37"/>
        <v>200000</v>
      </c>
      <c r="V62" s="52">
        <f t="shared" si="38"/>
        <v>500000</v>
      </c>
      <c r="W62" s="52">
        <f t="shared" si="39"/>
        <v>100000</v>
      </c>
      <c r="X62" s="52">
        <f t="shared" si="40"/>
        <v>0</v>
      </c>
      <c r="Y62" s="52">
        <f t="shared" si="41"/>
        <v>0</v>
      </c>
      <c r="Z62" s="52">
        <f t="shared" si="42"/>
        <v>0</v>
      </c>
      <c r="AA62" s="52">
        <f t="shared" si="43"/>
        <v>0</v>
      </c>
      <c r="AB62" s="52">
        <f t="shared" si="44"/>
        <v>0</v>
      </c>
      <c r="AC62" s="52">
        <f t="shared" si="45"/>
        <v>0</v>
      </c>
      <c r="AD62" s="52">
        <f t="shared" si="46"/>
        <v>0</v>
      </c>
      <c r="AE62" s="52">
        <f t="shared" si="47"/>
        <v>0</v>
      </c>
      <c r="AF62" s="52">
        <f t="shared" si="48"/>
        <v>0</v>
      </c>
      <c r="AG62" s="52">
        <f t="shared" si="49"/>
        <v>0</v>
      </c>
      <c r="AH62" s="52">
        <f t="shared" si="50"/>
        <v>0</v>
      </c>
      <c r="AI62" s="83">
        <f t="shared" si="51"/>
        <v>0</v>
      </c>
      <c r="AJ62" s="84">
        <f t="shared" si="53"/>
        <v>0</v>
      </c>
      <c r="AK62" s="52">
        <f t="shared" si="54"/>
        <v>0</v>
      </c>
      <c r="AL62" s="52">
        <f t="shared" si="55"/>
        <v>0</v>
      </c>
      <c r="AM62" s="52">
        <f t="shared" si="56"/>
        <v>0</v>
      </c>
      <c r="AN62" s="52">
        <f t="shared" si="57"/>
        <v>0</v>
      </c>
      <c r="AO62" s="52">
        <f t="shared" si="58"/>
        <v>0</v>
      </c>
      <c r="AP62" s="52">
        <f t="shared" si="59"/>
        <v>0</v>
      </c>
      <c r="AQ62" s="52">
        <f t="shared" si="60"/>
        <v>0</v>
      </c>
      <c r="AR62" s="52">
        <f t="shared" si="61"/>
        <v>0</v>
      </c>
      <c r="AS62" s="52">
        <f t="shared" si="62"/>
        <v>0</v>
      </c>
      <c r="AT62" s="52">
        <f t="shared" si="63"/>
        <v>0</v>
      </c>
      <c r="AU62" s="52">
        <f t="shared" si="64"/>
        <v>0</v>
      </c>
      <c r="AV62" s="52">
        <f t="shared" si="65"/>
        <v>0</v>
      </c>
      <c r="AW62" s="52">
        <f t="shared" si="66"/>
        <v>0</v>
      </c>
      <c r="AX62" s="52">
        <f t="shared" si="67"/>
        <v>0</v>
      </c>
      <c r="AY62" s="52">
        <f t="shared" si="34"/>
        <v>0</v>
      </c>
      <c r="AZ62" s="52">
        <f t="shared" si="34"/>
        <v>0</v>
      </c>
      <c r="BA62" s="52">
        <f t="shared" si="34"/>
        <v>400000</v>
      </c>
      <c r="BB62" s="52">
        <f t="shared" si="34"/>
        <v>500000</v>
      </c>
      <c r="BC62" s="52">
        <f t="shared" si="34"/>
        <v>500000</v>
      </c>
      <c r="BD62" s="52">
        <f t="shared" si="34"/>
        <v>500000</v>
      </c>
      <c r="BE62" s="52">
        <f t="shared" si="34"/>
        <v>500000</v>
      </c>
      <c r="BF62" s="52">
        <f t="shared" si="34"/>
        <v>500000</v>
      </c>
      <c r="BG62" s="52">
        <f t="shared" si="34"/>
        <v>500000</v>
      </c>
      <c r="BH62" s="52">
        <f t="shared" si="34"/>
        <v>500000</v>
      </c>
      <c r="BI62" s="52">
        <f t="shared" si="34"/>
        <v>500000</v>
      </c>
      <c r="BJ62" s="52">
        <f t="shared" si="34"/>
        <v>500000</v>
      </c>
      <c r="BK62" s="52">
        <f t="shared" si="34"/>
        <v>500000</v>
      </c>
      <c r="BL62" s="52">
        <f t="shared" si="34"/>
        <v>500000</v>
      </c>
      <c r="BM62" s="85">
        <f t="shared" si="34"/>
        <v>500000</v>
      </c>
      <c r="BN62" s="42"/>
    </row>
    <row r="63" spans="1:66" x14ac:dyDescent="0.25">
      <c r="A63" s="78">
        <f t="shared" si="35"/>
        <v>390476.1904761903</v>
      </c>
      <c r="B63" s="45" t="s">
        <v>31</v>
      </c>
      <c r="C63" s="3">
        <v>800000</v>
      </c>
      <c r="D63" s="52">
        <f t="shared" si="36"/>
        <v>800000</v>
      </c>
      <c r="E63" s="80">
        <f t="shared" si="18"/>
        <v>2.048780487804879</v>
      </c>
      <c r="F63" s="52">
        <f t="shared" si="19"/>
        <v>0</v>
      </c>
      <c r="G63" s="52">
        <f t="shared" si="20"/>
        <v>0</v>
      </c>
      <c r="H63" s="52">
        <f t="shared" si="21"/>
        <v>0</v>
      </c>
      <c r="I63" s="52">
        <f t="shared" si="22"/>
        <v>0</v>
      </c>
      <c r="J63" s="52">
        <f t="shared" si="23"/>
        <v>0</v>
      </c>
      <c r="K63" s="83">
        <f t="shared" si="24"/>
        <v>0</v>
      </c>
      <c r="L63" s="82">
        <f t="shared" si="25"/>
        <v>0</v>
      </c>
      <c r="M63" s="82">
        <f t="shared" si="26"/>
        <v>0</v>
      </c>
      <c r="N63" s="82">
        <f t="shared" si="27"/>
        <v>0</v>
      </c>
      <c r="O63" s="82">
        <f t="shared" si="28"/>
        <v>0</v>
      </c>
      <c r="P63" s="82">
        <f t="shared" si="29"/>
        <v>0</v>
      </c>
      <c r="Q63" s="82">
        <f t="shared" si="30"/>
        <v>0</v>
      </c>
      <c r="R63" s="82">
        <f t="shared" si="31"/>
        <v>0</v>
      </c>
      <c r="S63" s="83">
        <f t="shared" si="32"/>
        <v>0</v>
      </c>
      <c r="T63" s="52">
        <f t="shared" si="52"/>
        <v>0</v>
      </c>
      <c r="U63" s="52">
        <f t="shared" si="37"/>
        <v>0</v>
      </c>
      <c r="V63" s="52">
        <f t="shared" si="38"/>
        <v>0</v>
      </c>
      <c r="W63" s="52">
        <f t="shared" si="39"/>
        <v>400000</v>
      </c>
      <c r="X63" s="52">
        <f t="shared" si="40"/>
        <v>400000</v>
      </c>
      <c r="Y63" s="52">
        <f t="shared" si="41"/>
        <v>0</v>
      </c>
      <c r="Z63" s="52">
        <f t="shared" si="42"/>
        <v>0</v>
      </c>
      <c r="AA63" s="52">
        <f t="shared" si="43"/>
        <v>0</v>
      </c>
      <c r="AB63" s="52">
        <f t="shared" si="44"/>
        <v>0</v>
      </c>
      <c r="AC63" s="52">
        <f t="shared" si="45"/>
        <v>0</v>
      </c>
      <c r="AD63" s="52">
        <f t="shared" si="46"/>
        <v>0</v>
      </c>
      <c r="AE63" s="52">
        <f t="shared" si="47"/>
        <v>0</v>
      </c>
      <c r="AF63" s="52">
        <f t="shared" si="48"/>
        <v>0</v>
      </c>
      <c r="AG63" s="52">
        <f t="shared" si="49"/>
        <v>0</v>
      </c>
      <c r="AH63" s="52">
        <f t="shared" si="50"/>
        <v>0</v>
      </c>
      <c r="AI63" s="83">
        <f t="shared" si="51"/>
        <v>0</v>
      </c>
      <c r="AJ63" s="84">
        <f t="shared" si="53"/>
        <v>0</v>
      </c>
      <c r="AK63" s="52">
        <f t="shared" si="54"/>
        <v>0</v>
      </c>
      <c r="AL63" s="52">
        <f t="shared" si="55"/>
        <v>0</v>
      </c>
      <c r="AM63" s="52">
        <f t="shared" si="56"/>
        <v>0</v>
      </c>
      <c r="AN63" s="52">
        <f t="shared" si="57"/>
        <v>0</v>
      </c>
      <c r="AO63" s="52">
        <f t="shared" si="58"/>
        <v>0</v>
      </c>
      <c r="AP63" s="52">
        <f t="shared" si="59"/>
        <v>0</v>
      </c>
      <c r="AQ63" s="52">
        <f t="shared" si="60"/>
        <v>0</v>
      </c>
      <c r="AR63" s="52">
        <f t="shared" si="61"/>
        <v>0</v>
      </c>
      <c r="AS63" s="52">
        <f t="shared" si="62"/>
        <v>0</v>
      </c>
      <c r="AT63" s="52">
        <f t="shared" si="63"/>
        <v>0</v>
      </c>
      <c r="AU63" s="52">
        <f t="shared" si="64"/>
        <v>0</v>
      </c>
      <c r="AV63" s="52">
        <f t="shared" si="65"/>
        <v>0</v>
      </c>
      <c r="AW63" s="52">
        <f t="shared" si="66"/>
        <v>0</v>
      </c>
      <c r="AX63" s="52">
        <f t="shared" si="67"/>
        <v>0</v>
      </c>
      <c r="AY63" s="52">
        <f t="shared" si="34"/>
        <v>0</v>
      </c>
      <c r="AZ63" s="52">
        <f t="shared" si="34"/>
        <v>0</v>
      </c>
      <c r="BA63" s="52">
        <f t="shared" si="34"/>
        <v>0</v>
      </c>
      <c r="BB63" s="52">
        <f t="shared" si="34"/>
        <v>100000</v>
      </c>
      <c r="BC63" s="52">
        <f t="shared" si="34"/>
        <v>500000</v>
      </c>
      <c r="BD63" s="52">
        <f t="shared" si="34"/>
        <v>500000</v>
      </c>
      <c r="BE63" s="52">
        <f t="shared" si="34"/>
        <v>500000</v>
      </c>
      <c r="BF63" s="52">
        <f t="shared" si="34"/>
        <v>500000</v>
      </c>
      <c r="BG63" s="52">
        <f t="shared" si="34"/>
        <v>500000</v>
      </c>
      <c r="BH63" s="52">
        <f t="shared" si="34"/>
        <v>500000</v>
      </c>
      <c r="BI63" s="52">
        <f t="shared" si="34"/>
        <v>500000</v>
      </c>
      <c r="BJ63" s="52">
        <f t="shared" si="34"/>
        <v>500000</v>
      </c>
      <c r="BK63" s="52">
        <f t="shared" si="34"/>
        <v>500000</v>
      </c>
      <c r="BL63" s="52">
        <f t="shared" si="34"/>
        <v>500000</v>
      </c>
      <c r="BM63" s="85">
        <f t="shared" si="34"/>
        <v>500000</v>
      </c>
    </row>
    <row r="64" spans="1:66" x14ac:dyDescent="0.25">
      <c r="A64" s="78">
        <f t="shared" si="35"/>
        <v>361848.29663090507</v>
      </c>
      <c r="B64" s="45" t="s">
        <v>32</v>
      </c>
      <c r="C64" s="3">
        <v>800000</v>
      </c>
      <c r="D64" s="52">
        <f t="shared" si="36"/>
        <v>800000</v>
      </c>
      <c r="E64" s="80">
        <f t="shared" si="18"/>
        <v>2.2108712613784149</v>
      </c>
      <c r="F64" s="52">
        <f t="shared" si="19"/>
        <v>0</v>
      </c>
      <c r="G64" s="52">
        <f t="shared" si="20"/>
        <v>0</v>
      </c>
      <c r="H64" s="52">
        <f t="shared" si="21"/>
        <v>0</v>
      </c>
      <c r="I64" s="52">
        <f t="shared" si="22"/>
        <v>0</v>
      </c>
      <c r="J64" s="52">
        <f t="shared" si="23"/>
        <v>0</v>
      </c>
      <c r="K64" s="83">
        <f t="shared" si="24"/>
        <v>0</v>
      </c>
      <c r="L64" s="82">
        <f t="shared" si="25"/>
        <v>0</v>
      </c>
      <c r="M64" s="82">
        <f t="shared" si="26"/>
        <v>0</v>
      </c>
      <c r="N64" s="82">
        <f t="shared" si="27"/>
        <v>0</v>
      </c>
      <c r="O64" s="82">
        <f t="shared" si="28"/>
        <v>0</v>
      </c>
      <c r="P64" s="82">
        <f t="shared" si="29"/>
        <v>0</v>
      </c>
      <c r="Q64" s="82">
        <f t="shared" si="30"/>
        <v>0</v>
      </c>
      <c r="R64" s="82">
        <f t="shared" si="31"/>
        <v>0</v>
      </c>
      <c r="S64" s="83">
        <f t="shared" si="32"/>
        <v>0</v>
      </c>
      <c r="T64" s="52">
        <f t="shared" si="52"/>
        <v>0</v>
      </c>
      <c r="U64" s="52">
        <f t="shared" si="37"/>
        <v>0</v>
      </c>
      <c r="V64" s="52">
        <f t="shared" si="38"/>
        <v>0</v>
      </c>
      <c r="W64" s="52">
        <f t="shared" si="39"/>
        <v>0</v>
      </c>
      <c r="X64" s="52">
        <f t="shared" si="40"/>
        <v>100000</v>
      </c>
      <c r="Y64" s="52">
        <f t="shared" si="41"/>
        <v>500000</v>
      </c>
      <c r="Z64" s="52">
        <f t="shared" si="42"/>
        <v>200000</v>
      </c>
      <c r="AA64" s="52">
        <f t="shared" si="43"/>
        <v>0</v>
      </c>
      <c r="AB64" s="52">
        <f t="shared" si="44"/>
        <v>0</v>
      </c>
      <c r="AC64" s="52">
        <f t="shared" si="45"/>
        <v>0</v>
      </c>
      <c r="AD64" s="52">
        <f t="shared" si="46"/>
        <v>0</v>
      </c>
      <c r="AE64" s="52">
        <f t="shared" si="47"/>
        <v>0</v>
      </c>
      <c r="AF64" s="52">
        <f t="shared" si="48"/>
        <v>0</v>
      </c>
      <c r="AG64" s="52">
        <f t="shared" si="49"/>
        <v>0</v>
      </c>
      <c r="AH64" s="52">
        <f t="shared" si="50"/>
        <v>0</v>
      </c>
      <c r="AI64" s="83">
        <f t="shared" si="51"/>
        <v>0</v>
      </c>
      <c r="AJ64" s="84">
        <f t="shared" si="53"/>
        <v>0</v>
      </c>
      <c r="AK64" s="52">
        <f t="shared" si="54"/>
        <v>0</v>
      </c>
      <c r="AL64" s="52">
        <f t="shared" si="55"/>
        <v>0</v>
      </c>
      <c r="AM64" s="52">
        <f t="shared" si="56"/>
        <v>0</v>
      </c>
      <c r="AN64" s="52">
        <f t="shared" si="57"/>
        <v>0</v>
      </c>
      <c r="AO64" s="52">
        <f t="shared" si="58"/>
        <v>0</v>
      </c>
      <c r="AP64" s="52">
        <f t="shared" si="59"/>
        <v>0</v>
      </c>
      <c r="AQ64" s="52">
        <f t="shared" si="60"/>
        <v>0</v>
      </c>
      <c r="AR64" s="52">
        <f t="shared" si="61"/>
        <v>0</v>
      </c>
      <c r="AS64" s="52">
        <f t="shared" si="62"/>
        <v>0</v>
      </c>
      <c r="AT64" s="52">
        <f t="shared" si="63"/>
        <v>0</v>
      </c>
      <c r="AU64" s="52">
        <f t="shared" si="64"/>
        <v>0</v>
      </c>
      <c r="AV64" s="52">
        <f t="shared" si="65"/>
        <v>0</v>
      </c>
      <c r="AW64" s="52">
        <f t="shared" si="66"/>
        <v>0</v>
      </c>
      <c r="AX64" s="52">
        <f t="shared" si="67"/>
        <v>0</v>
      </c>
      <c r="AY64" s="52">
        <f t="shared" si="34"/>
        <v>0</v>
      </c>
      <c r="AZ64" s="52">
        <f t="shared" si="34"/>
        <v>0</v>
      </c>
      <c r="BA64" s="52">
        <f t="shared" si="34"/>
        <v>0</v>
      </c>
      <c r="BB64" s="52">
        <f t="shared" si="34"/>
        <v>0</v>
      </c>
      <c r="BC64" s="52">
        <f t="shared" si="34"/>
        <v>0</v>
      </c>
      <c r="BD64" s="52">
        <f t="shared" si="34"/>
        <v>300000</v>
      </c>
      <c r="BE64" s="52">
        <f t="shared" si="34"/>
        <v>500000</v>
      </c>
      <c r="BF64" s="52">
        <f t="shared" si="34"/>
        <v>500000</v>
      </c>
      <c r="BG64" s="52">
        <f t="shared" si="34"/>
        <v>500000</v>
      </c>
      <c r="BH64" s="52">
        <f t="shared" si="34"/>
        <v>500000</v>
      </c>
      <c r="BI64" s="52">
        <f t="shared" si="34"/>
        <v>500000</v>
      </c>
      <c r="BJ64" s="52">
        <f t="shared" si="34"/>
        <v>500000</v>
      </c>
      <c r="BK64" s="52">
        <f t="shared" si="34"/>
        <v>500000</v>
      </c>
      <c r="BL64" s="52">
        <f t="shared" si="34"/>
        <v>500000</v>
      </c>
      <c r="BM64" s="85">
        <f t="shared" si="34"/>
        <v>500000</v>
      </c>
    </row>
    <row r="65" spans="1:65" x14ac:dyDescent="0.25">
      <c r="A65" s="78">
        <f t="shared" si="35"/>
        <v>338768.11594202882</v>
      </c>
      <c r="B65" s="45" t="s">
        <v>33</v>
      </c>
      <c r="C65" s="3">
        <v>800000</v>
      </c>
      <c r="D65" s="52">
        <f t="shared" si="36"/>
        <v>800000</v>
      </c>
      <c r="E65" s="80">
        <f t="shared" si="18"/>
        <v>2.3614973262032097</v>
      </c>
      <c r="F65" s="52">
        <f t="shared" si="19"/>
        <v>0</v>
      </c>
      <c r="G65" s="52">
        <f t="shared" si="20"/>
        <v>0</v>
      </c>
      <c r="H65" s="52">
        <f t="shared" si="21"/>
        <v>0</v>
      </c>
      <c r="I65" s="52">
        <f t="shared" si="22"/>
        <v>0</v>
      </c>
      <c r="J65" s="52">
        <f t="shared" si="23"/>
        <v>0</v>
      </c>
      <c r="K65" s="83">
        <f t="shared" si="24"/>
        <v>0</v>
      </c>
      <c r="L65" s="82">
        <f t="shared" si="25"/>
        <v>0</v>
      </c>
      <c r="M65" s="82">
        <f t="shared" si="26"/>
        <v>0</v>
      </c>
      <c r="N65" s="82">
        <f t="shared" si="27"/>
        <v>0</v>
      </c>
      <c r="O65" s="82">
        <f t="shared" si="28"/>
        <v>0</v>
      </c>
      <c r="P65" s="82">
        <f t="shared" si="29"/>
        <v>0</v>
      </c>
      <c r="Q65" s="82">
        <f t="shared" si="30"/>
        <v>0</v>
      </c>
      <c r="R65" s="82">
        <f t="shared" si="31"/>
        <v>0</v>
      </c>
      <c r="S65" s="83">
        <f t="shared" si="32"/>
        <v>0</v>
      </c>
      <c r="T65" s="52">
        <f t="shared" si="52"/>
        <v>0</v>
      </c>
      <c r="U65" s="52">
        <f t="shared" si="37"/>
        <v>0</v>
      </c>
      <c r="V65" s="52">
        <f t="shared" si="38"/>
        <v>0</v>
      </c>
      <c r="W65" s="52">
        <f t="shared" si="39"/>
        <v>0</v>
      </c>
      <c r="X65" s="52">
        <f t="shared" si="40"/>
        <v>0</v>
      </c>
      <c r="Y65" s="52">
        <f t="shared" si="41"/>
        <v>0</v>
      </c>
      <c r="Z65" s="52">
        <f t="shared" si="42"/>
        <v>300000</v>
      </c>
      <c r="AA65" s="52">
        <f t="shared" si="43"/>
        <v>500000</v>
      </c>
      <c r="AB65" s="52">
        <f t="shared" si="44"/>
        <v>0</v>
      </c>
      <c r="AC65" s="52">
        <f t="shared" si="45"/>
        <v>0</v>
      </c>
      <c r="AD65" s="52">
        <f t="shared" si="46"/>
        <v>0</v>
      </c>
      <c r="AE65" s="52">
        <f t="shared" si="47"/>
        <v>0</v>
      </c>
      <c r="AF65" s="52">
        <f t="shared" si="48"/>
        <v>0</v>
      </c>
      <c r="AG65" s="52">
        <f t="shared" si="49"/>
        <v>0</v>
      </c>
      <c r="AH65" s="52">
        <f t="shared" si="50"/>
        <v>0</v>
      </c>
      <c r="AI65" s="83">
        <f t="shared" si="51"/>
        <v>0</v>
      </c>
      <c r="AJ65" s="84">
        <f t="shared" si="53"/>
        <v>0</v>
      </c>
      <c r="AK65" s="52">
        <f t="shared" si="54"/>
        <v>0</v>
      </c>
      <c r="AL65" s="52">
        <f t="shared" si="55"/>
        <v>0</v>
      </c>
      <c r="AM65" s="52">
        <f t="shared" si="56"/>
        <v>0</v>
      </c>
      <c r="AN65" s="52">
        <f t="shared" si="57"/>
        <v>0</v>
      </c>
      <c r="AO65" s="52">
        <f t="shared" si="58"/>
        <v>0</v>
      </c>
      <c r="AP65" s="52">
        <f t="shared" si="59"/>
        <v>0</v>
      </c>
      <c r="AQ65" s="52">
        <f t="shared" si="60"/>
        <v>0</v>
      </c>
      <c r="AR65" s="52">
        <f t="shared" si="61"/>
        <v>0</v>
      </c>
      <c r="AS65" s="52">
        <f t="shared" si="62"/>
        <v>0</v>
      </c>
      <c r="AT65" s="52">
        <f t="shared" si="63"/>
        <v>0</v>
      </c>
      <c r="AU65" s="52">
        <f t="shared" si="64"/>
        <v>0</v>
      </c>
      <c r="AV65" s="52">
        <f t="shared" si="65"/>
        <v>0</v>
      </c>
      <c r="AW65" s="52">
        <f t="shared" si="66"/>
        <v>0</v>
      </c>
      <c r="AX65" s="52">
        <f t="shared" si="67"/>
        <v>0</v>
      </c>
      <c r="AY65" s="52">
        <f t="shared" si="34"/>
        <v>0</v>
      </c>
      <c r="AZ65" s="52">
        <f t="shared" si="34"/>
        <v>0</v>
      </c>
      <c r="BA65" s="52">
        <f t="shared" si="34"/>
        <v>0</v>
      </c>
      <c r="BB65" s="52">
        <f t="shared" si="34"/>
        <v>0</v>
      </c>
      <c r="BC65" s="52">
        <f t="shared" si="34"/>
        <v>0</v>
      </c>
      <c r="BD65" s="52">
        <f t="shared" si="34"/>
        <v>0</v>
      </c>
      <c r="BE65" s="52">
        <f t="shared" si="34"/>
        <v>0</v>
      </c>
      <c r="BF65" s="52">
        <f t="shared" si="34"/>
        <v>500000</v>
      </c>
      <c r="BG65" s="52">
        <f t="shared" si="34"/>
        <v>500000</v>
      </c>
      <c r="BH65" s="52">
        <f t="shared" si="34"/>
        <v>500000</v>
      </c>
      <c r="BI65" s="52">
        <f t="shared" si="34"/>
        <v>500000</v>
      </c>
      <c r="BJ65" s="52">
        <f t="shared" si="34"/>
        <v>500000</v>
      </c>
      <c r="BK65" s="52">
        <f t="shared" si="34"/>
        <v>500000</v>
      </c>
      <c r="BL65" s="52">
        <f t="shared" si="34"/>
        <v>500000</v>
      </c>
      <c r="BM65" s="85">
        <f t="shared" si="34"/>
        <v>500000</v>
      </c>
    </row>
    <row r="66" spans="1:65" x14ac:dyDescent="0.25">
      <c r="A66" s="78">
        <f>D66/E66</f>
        <v>315384.6153846152</v>
      </c>
      <c r="B66" s="45" t="s">
        <v>34</v>
      </c>
      <c r="C66" s="3">
        <v>800000</v>
      </c>
      <c r="D66" s="52">
        <f t="shared" si="36"/>
        <v>800000</v>
      </c>
      <c r="E66" s="80">
        <f t="shared" si="18"/>
        <v>2.5365853658536599</v>
      </c>
      <c r="F66" s="52">
        <f t="shared" si="19"/>
        <v>0</v>
      </c>
      <c r="G66" s="52">
        <f t="shared" si="20"/>
        <v>0</v>
      </c>
      <c r="H66" s="52">
        <f t="shared" si="21"/>
        <v>0</v>
      </c>
      <c r="I66" s="52">
        <f t="shared" si="22"/>
        <v>0</v>
      </c>
      <c r="J66" s="52">
        <f t="shared" si="23"/>
        <v>0</v>
      </c>
      <c r="K66" s="83">
        <f t="shared" si="24"/>
        <v>0</v>
      </c>
      <c r="L66" s="82">
        <f t="shared" si="25"/>
        <v>0</v>
      </c>
      <c r="M66" s="82">
        <f t="shared" si="26"/>
        <v>0</v>
      </c>
      <c r="N66" s="82">
        <f t="shared" si="27"/>
        <v>0</v>
      </c>
      <c r="O66" s="82">
        <f t="shared" si="28"/>
        <v>0</v>
      </c>
      <c r="P66" s="82">
        <f t="shared" si="29"/>
        <v>0</v>
      </c>
      <c r="Q66" s="82">
        <f t="shared" si="30"/>
        <v>0</v>
      </c>
      <c r="R66" s="82">
        <f t="shared" si="31"/>
        <v>0</v>
      </c>
      <c r="S66" s="83">
        <f t="shared" si="32"/>
        <v>0</v>
      </c>
      <c r="T66" s="52">
        <f t="shared" si="52"/>
        <v>0</v>
      </c>
      <c r="U66" s="52">
        <f t="shared" si="37"/>
        <v>0</v>
      </c>
      <c r="V66" s="52">
        <f t="shared" si="38"/>
        <v>0</v>
      </c>
      <c r="W66" s="52">
        <f t="shared" si="39"/>
        <v>0</v>
      </c>
      <c r="X66" s="52">
        <f t="shared" si="40"/>
        <v>0</v>
      </c>
      <c r="Y66" s="52">
        <f t="shared" si="41"/>
        <v>0</v>
      </c>
      <c r="Z66" s="52">
        <f t="shared" si="42"/>
        <v>0</v>
      </c>
      <c r="AA66" s="52">
        <f t="shared" si="43"/>
        <v>0</v>
      </c>
      <c r="AB66" s="52">
        <f t="shared" si="44"/>
        <v>500000</v>
      </c>
      <c r="AC66" s="52">
        <f t="shared" si="45"/>
        <v>300000</v>
      </c>
      <c r="AD66" s="52">
        <f t="shared" si="46"/>
        <v>0</v>
      </c>
      <c r="AE66" s="52">
        <f t="shared" si="47"/>
        <v>0</v>
      </c>
      <c r="AF66" s="52">
        <f t="shared" si="48"/>
        <v>0</v>
      </c>
      <c r="AG66" s="52">
        <f t="shared" si="49"/>
        <v>0</v>
      </c>
      <c r="AH66" s="52">
        <f t="shared" si="50"/>
        <v>0</v>
      </c>
      <c r="AI66" s="83">
        <f t="shared" si="51"/>
        <v>0</v>
      </c>
      <c r="AJ66" s="84">
        <f t="shared" si="53"/>
        <v>0</v>
      </c>
      <c r="AK66" s="52">
        <f t="shared" si="54"/>
        <v>0</v>
      </c>
      <c r="AL66" s="52">
        <f t="shared" si="55"/>
        <v>0</v>
      </c>
      <c r="AM66" s="52">
        <f t="shared" si="56"/>
        <v>0</v>
      </c>
      <c r="AN66" s="52">
        <f t="shared" si="57"/>
        <v>0</v>
      </c>
      <c r="AO66" s="52">
        <f t="shared" si="58"/>
        <v>0</v>
      </c>
      <c r="AP66" s="52">
        <f t="shared" si="59"/>
        <v>0</v>
      </c>
      <c r="AQ66" s="52">
        <f t="shared" si="60"/>
        <v>0</v>
      </c>
      <c r="AR66" s="52">
        <f t="shared" si="61"/>
        <v>0</v>
      </c>
      <c r="AS66" s="52">
        <f t="shared" si="62"/>
        <v>0</v>
      </c>
      <c r="AT66" s="52">
        <f t="shared" si="63"/>
        <v>0</v>
      </c>
      <c r="AU66" s="52">
        <f t="shared" si="64"/>
        <v>0</v>
      </c>
      <c r="AV66" s="52">
        <f t="shared" si="65"/>
        <v>0</v>
      </c>
      <c r="AW66" s="52">
        <f t="shared" si="66"/>
        <v>0</v>
      </c>
      <c r="AX66" s="52">
        <f t="shared" si="67"/>
        <v>0</v>
      </c>
      <c r="AY66" s="52">
        <f t="shared" si="34"/>
        <v>0</v>
      </c>
      <c r="AZ66" s="52">
        <f t="shared" si="34"/>
        <v>0</v>
      </c>
      <c r="BA66" s="52">
        <f t="shared" si="34"/>
        <v>0</v>
      </c>
      <c r="BB66" s="52">
        <f t="shared" si="34"/>
        <v>0</v>
      </c>
      <c r="BC66" s="52">
        <f t="shared" si="34"/>
        <v>0</v>
      </c>
      <c r="BD66" s="52">
        <f t="shared" si="34"/>
        <v>0</v>
      </c>
      <c r="BE66" s="52">
        <f t="shared" si="34"/>
        <v>0</v>
      </c>
      <c r="BF66" s="52">
        <f t="shared" si="34"/>
        <v>0</v>
      </c>
      <c r="BG66" s="52">
        <f t="shared" si="34"/>
        <v>200000</v>
      </c>
      <c r="BH66" s="52">
        <f t="shared" si="34"/>
        <v>500000</v>
      </c>
      <c r="BI66" s="52">
        <f t="shared" si="34"/>
        <v>500000</v>
      </c>
      <c r="BJ66" s="52">
        <f t="shared" si="34"/>
        <v>500000</v>
      </c>
      <c r="BK66" s="52">
        <f t="shared" si="34"/>
        <v>500000</v>
      </c>
      <c r="BL66" s="52">
        <f t="shared" si="34"/>
        <v>500000</v>
      </c>
      <c r="BM66" s="85">
        <f t="shared" si="34"/>
        <v>500000</v>
      </c>
    </row>
    <row r="67" spans="1:65" x14ac:dyDescent="0.25">
      <c r="A67" s="78">
        <f t="shared" ref="A67:A71" si="68">D67/E67</f>
        <v>262108.26210826196</v>
      </c>
      <c r="B67" s="45" t="s">
        <v>35</v>
      </c>
      <c r="C67" s="3">
        <v>700000</v>
      </c>
      <c r="D67" s="52">
        <f t="shared" si="36"/>
        <v>700000</v>
      </c>
      <c r="E67" s="80">
        <f t="shared" si="18"/>
        <v>2.6706521739130449</v>
      </c>
      <c r="F67" s="52">
        <f t="shared" si="19"/>
        <v>0</v>
      </c>
      <c r="G67" s="52">
        <f t="shared" si="20"/>
        <v>0</v>
      </c>
      <c r="H67" s="52">
        <f t="shared" si="21"/>
        <v>0</v>
      </c>
      <c r="I67" s="52">
        <f t="shared" si="22"/>
        <v>0</v>
      </c>
      <c r="J67" s="52">
        <f t="shared" si="23"/>
        <v>0</v>
      </c>
      <c r="K67" s="83">
        <f t="shared" si="24"/>
        <v>0</v>
      </c>
      <c r="L67" s="82">
        <f t="shared" si="25"/>
        <v>0</v>
      </c>
      <c r="M67" s="82">
        <f t="shared" si="26"/>
        <v>0</v>
      </c>
      <c r="N67" s="82">
        <f t="shared" si="27"/>
        <v>0</v>
      </c>
      <c r="O67" s="82">
        <f t="shared" si="28"/>
        <v>0</v>
      </c>
      <c r="P67" s="82">
        <f t="shared" si="29"/>
        <v>0</v>
      </c>
      <c r="Q67" s="82">
        <f t="shared" si="30"/>
        <v>0</v>
      </c>
      <c r="R67" s="82">
        <f t="shared" si="31"/>
        <v>0</v>
      </c>
      <c r="S67" s="83">
        <f t="shared" si="32"/>
        <v>0</v>
      </c>
      <c r="T67" s="52">
        <f t="shared" si="52"/>
        <v>0</v>
      </c>
      <c r="U67" s="52">
        <f t="shared" si="37"/>
        <v>0</v>
      </c>
      <c r="V67" s="52">
        <f t="shared" si="38"/>
        <v>0</v>
      </c>
      <c r="W67" s="52">
        <f t="shared" si="39"/>
        <v>0</v>
      </c>
      <c r="X67" s="52">
        <f t="shared" si="40"/>
        <v>0</v>
      </c>
      <c r="Y67" s="52">
        <f t="shared" si="41"/>
        <v>0</v>
      </c>
      <c r="Z67" s="52">
        <f t="shared" si="42"/>
        <v>0</v>
      </c>
      <c r="AA67" s="52">
        <f t="shared" si="43"/>
        <v>0</v>
      </c>
      <c r="AB67" s="52">
        <f t="shared" si="44"/>
        <v>0</v>
      </c>
      <c r="AC67" s="52">
        <f t="shared" si="45"/>
        <v>200000</v>
      </c>
      <c r="AD67" s="52">
        <f t="shared" si="46"/>
        <v>500000</v>
      </c>
      <c r="AE67" s="52">
        <f t="shared" si="47"/>
        <v>0</v>
      </c>
      <c r="AF67" s="52">
        <f t="shared" si="48"/>
        <v>0</v>
      </c>
      <c r="AG67" s="52">
        <f t="shared" si="49"/>
        <v>0</v>
      </c>
      <c r="AH67" s="52">
        <f t="shared" si="50"/>
        <v>0</v>
      </c>
      <c r="AI67" s="83">
        <f t="shared" si="51"/>
        <v>0</v>
      </c>
      <c r="AJ67" s="84">
        <f t="shared" si="53"/>
        <v>0</v>
      </c>
      <c r="AK67" s="52">
        <f t="shared" si="54"/>
        <v>0</v>
      </c>
      <c r="AL67" s="52">
        <f t="shared" si="55"/>
        <v>0</v>
      </c>
      <c r="AM67" s="52">
        <f t="shared" si="56"/>
        <v>0</v>
      </c>
      <c r="AN67" s="52">
        <f t="shared" si="57"/>
        <v>0</v>
      </c>
      <c r="AO67" s="52">
        <f t="shared" si="58"/>
        <v>0</v>
      </c>
      <c r="AP67" s="52">
        <f t="shared" si="59"/>
        <v>0</v>
      </c>
      <c r="AQ67" s="52">
        <f t="shared" si="60"/>
        <v>0</v>
      </c>
      <c r="AR67" s="52">
        <f t="shared" si="61"/>
        <v>0</v>
      </c>
      <c r="AS67" s="52">
        <f t="shared" si="62"/>
        <v>0</v>
      </c>
      <c r="AT67" s="52">
        <f t="shared" si="63"/>
        <v>0</v>
      </c>
      <c r="AU67" s="52">
        <f t="shared" si="64"/>
        <v>0</v>
      </c>
      <c r="AV67" s="52">
        <f t="shared" si="65"/>
        <v>0</v>
      </c>
      <c r="AW67" s="52">
        <f t="shared" si="66"/>
        <v>0</v>
      </c>
      <c r="AX67" s="52">
        <f t="shared" si="67"/>
        <v>0</v>
      </c>
      <c r="AY67" s="52">
        <f t="shared" si="34"/>
        <v>0</v>
      </c>
      <c r="AZ67" s="52">
        <f t="shared" si="34"/>
        <v>0</v>
      </c>
      <c r="BA67" s="52">
        <f t="shared" si="34"/>
        <v>0</v>
      </c>
      <c r="BB67" s="52">
        <f t="shared" si="34"/>
        <v>0</v>
      </c>
      <c r="BC67" s="52">
        <f t="shared" si="34"/>
        <v>0</v>
      </c>
      <c r="BD67" s="52">
        <f t="shared" si="34"/>
        <v>0</v>
      </c>
      <c r="BE67" s="52">
        <f t="shared" si="34"/>
        <v>0</v>
      </c>
      <c r="BF67" s="52">
        <f t="shared" si="34"/>
        <v>0</v>
      </c>
      <c r="BG67" s="52">
        <f t="shared" si="34"/>
        <v>0</v>
      </c>
      <c r="BH67" s="52">
        <f t="shared" si="34"/>
        <v>0</v>
      </c>
      <c r="BI67" s="52">
        <f t="shared" si="34"/>
        <v>500000</v>
      </c>
      <c r="BJ67" s="52">
        <f t="shared" si="34"/>
        <v>500000</v>
      </c>
      <c r="BK67" s="52">
        <f t="shared" si="34"/>
        <v>500000</v>
      </c>
      <c r="BL67" s="52">
        <f t="shared" si="34"/>
        <v>500000</v>
      </c>
      <c r="BM67" s="85">
        <f t="shared" si="34"/>
        <v>500000</v>
      </c>
    </row>
    <row r="68" spans="1:65" x14ac:dyDescent="0.25">
      <c r="A68" s="78">
        <f t="shared" si="68"/>
        <v>247536.94581280774</v>
      </c>
      <c r="B68" s="45" t="s">
        <v>36</v>
      </c>
      <c r="C68" s="3">
        <v>700000</v>
      </c>
      <c r="D68" s="52">
        <f t="shared" si="36"/>
        <v>700000</v>
      </c>
      <c r="E68" s="80">
        <f t="shared" si="18"/>
        <v>2.8278606965174147</v>
      </c>
      <c r="F68" s="52">
        <f t="shared" si="19"/>
        <v>0</v>
      </c>
      <c r="G68" s="52">
        <f t="shared" si="20"/>
        <v>0</v>
      </c>
      <c r="H68" s="52">
        <f t="shared" si="21"/>
        <v>0</v>
      </c>
      <c r="I68" s="52">
        <f t="shared" si="22"/>
        <v>0</v>
      </c>
      <c r="J68" s="52">
        <f t="shared" si="23"/>
        <v>0</v>
      </c>
      <c r="K68" s="83">
        <f t="shared" si="24"/>
        <v>0</v>
      </c>
      <c r="L68" s="82">
        <f t="shared" si="25"/>
        <v>0</v>
      </c>
      <c r="M68" s="82">
        <f t="shared" si="26"/>
        <v>0</v>
      </c>
      <c r="N68" s="82">
        <f t="shared" si="27"/>
        <v>0</v>
      </c>
      <c r="O68" s="82">
        <f t="shared" si="28"/>
        <v>0</v>
      </c>
      <c r="P68" s="82">
        <f t="shared" si="29"/>
        <v>0</v>
      </c>
      <c r="Q68" s="82">
        <f t="shared" si="30"/>
        <v>0</v>
      </c>
      <c r="R68" s="82">
        <f t="shared" si="31"/>
        <v>0</v>
      </c>
      <c r="S68" s="83">
        <f t="shared" si="32"/>
        <v>0</v>
      </c>
      <c r="T68" s="52">
        <f t="shared" si="52"/>
        <v>0</v>
      </c>
      <c r="U68" s="52">
        <f t="shared" si="37"/>
        <v>0</v>
      </c>
      <c r="V68" s="52">
        <f t="shared" si="38"/>
        <v>0</v>
      </c>
      <c r="W68" s="52">
        <f t="shared" si="39"/>
        <v>0</v>
      </c>
      <c r="X68" s="52">
        <f t="shared" si="40"/>
        <v>0</v>
      </c>
      <c r="Y68" s="52">
        <f t="shared" si="41"/>
        <v>0</v>
      </c>
      <c r="Z68" s="52">
        <f t="shared" si="42"/>
        <v>0</v>
      </c>
      <c r="AA68" s="52">
        <f t="shared" si="43"/>
        <v>0</v>
      </c>
      <c r="AB68" s="52">
        <f t="shared" si="44"/>
        <v>0</v>
      </c>
      <c r="AC68" s="52">
        <f t="shared" si="45"/>
        <v>0</v>
      </c>
      <c r="AD68" s="52">
        <f t="shared" si="46"/>
        <v>0</v>
      </c>
      <c r="AE68" s="52">
        <f t="shared" si="47"/>
        <v>500000</v>
      </c>
      <c r="AF68" s="52">
        <f t="shared" si="48"/>
        <v>200000</v>
      </c>
      <c r="AG68" s="52">
        <f t="shared" si="49"/>
        <v>0</v>
      </c>
      <c r="AH68" s="52">
        <f t="shared" si="50"/>
        <v>0</v>
      </c>
      <c r="AI68" s="83">
        <f t="shared" si="51"/>
        <v>0</v>
      </c>
      <c r="AJ68" s="84">
        <f t="shared" si="53"/>
        <v>0</v>
      </c>
      <c r="AK68" s="52">
        <f t="shared" si="54"/>
        <v>0</v>
      </c>
      <c r="AL68" s="52">
        <f t="shared" si="55"/>
        <v>0</v>
      </c>
      <c r="AM68" s="52">
        <f t="shared" si="56"/>
        <v>0</v>
      </c>
      <c r="AN68" s="52">
        <f t="shared" si="57"/>
        <v>0</v>
      </c>
      <c r="AO68" s="52">
        <f t="shared" si="58"/>
        <v>0</v>
      </c>
      <c r="AP68" s="52">
        <f t="shared" si="59"/>
        <v>0</v>
      </c>
      <c r="AQ68" s="52">
        <f t="shared" si="60"/>
        <v>0</v>
      </c>
      <c r="AR68" s="52">
        <f t="shared" si="61"/>
        <v>0</v>
      </c>
      <c r="AS68" s="52">
        <f t="shared" si="62"/>
        <v>0</v>
      </c>
      <c r="AT68" s="52">
        <f t="shared" si="63"/>
        <v>0</v>
      </c>
      <c r="AU68" s="52">
        <f t="shared" si="64"/>
        <v>0</v>
      </c>
      <c r="AV68" s="52">
        <f t="shared" si="65"/>
        <v>0</v>
      </c>
      <c r="AW68" s="52">
        <f t="shared" si="66"/>
        <v>0</v>
      </c>
      <c r="AX68" s="52">
        <f t="shared" si="67"/>
        <v>0</v>
      </c>
      <c r="AY68" s="52">
        <f t="shared" si="34"/>
        <v>0</v>
      </c>
      <c r="AZ68" s="52">
        <f t="shared" si="34"/>
        <v>0</v>
      </c>
      <c r="BA68" s="52">
        <f t="shared" si="34"/>
        <v>0</v>
      </c>
      <c r="BB68" s="52">
        <f t="shared" si="34"/>
        <v>0</v>
      </c>
      <c r="BC68" s="52">
        <f t="shared" si="34"/>
        <v>0</v>
      </c>
      <c r="BD68" s="52">
        <f t="shared" si="34"/>
        <v>0</v>
      </c>
      <c r="BE68" s="52">
        <f t="shared" si="34"/>
        <v>0</v>
      </c>
      <c r="BF68" s="52">
        <f t="shared" si="34"/>
        <v>0</v>
      </c>
      <c r="BG68" s="52">
        <f t="shared" si="34"/>
        <v>0</v>
      </c>
      <c r="BH68" s="52">
        <f t="shared" si="34"/>
        <v>0</v>
      </c>
      <c r="BI68" s="52">
        <f t="shared" si="34"/>
        <v>0</v>
      </c>
      <c r="BJ68" s="52">
        <f t="shared" si="34"/>
        <v>300000</v>
      </c>
      <c r="BK68" s="52">
        <f t="shared" si="34"/>
        <v>500000</v>
      </c>
      <c r="BL68" s="52">
        <f t="shared" si="34"/>
        <v>500000</v>
      </c>
      <c r="BM68" s="85">
        <f t="shared" si="34"/>
        <v>500000</v>
      </c>
    </row>
    <row r="69" spans="1:65" x14ac:dyDescent="0.25">
      <c r="A69" s="78">
        <f t="shared" si="68"/>
        <v>203448.27586206884</v>
      </c>
      <c r="B69" s="45" t="s">
        <v>37</v>
      </c>
      <c r="C69" s="3">
        <v>600000</v>
      </c>
      <c r="D69" s="52">
        <f t="shared" si="36"/>
        <v>600000</v>
      </c>
      <c r="E69" s="80">
        <f t="shared" si="18"/>
        <v>2.9491525423728833</v>
      </c>
      <c r="F69" s="52">
        <f t="shared" si="19"/>
        <v>0</v>
      </c>
      <c r="G69" s="52">
        <f t="shared" si="20"/>
        <v>0</v>
      </c>
      <c r="H69" s="52">
        <f t="shared" si="21"/>
        <v>0</v>
      </c>
      <c r="I69" s="52">
        <f t="shared" si="22"/>
        <v>0</v>
      </c>
      <c r="J69" s="52">
        <f t="shared" si="23"/>
        <v>0</v>
      </c>
      <c r="K69" s="83">
        <f t="shared" si="24"/>
        <v>0</v>
      </c>
      <c r="L69" s="82">
        <f t="shared" si="25"/>
        <v>0</v>
      </c>
      <c r="M69" s="82">
        <f t="shared" si="26"/>
        <v>0</v>
      </c>
      <c r="N69" s="82">
        <f t="shared" si="27"/>
        <v>0</v>
      </c>
      <c r="O69" s="82">
        <f t="shared" si="28"/>
        <v>0</v>
      </c>
      <c r="P69" s="82">
        <f t="shared" si="29"/>
        <v>0</v>
      </c>
      <c r="Q69" s="82">
        <f t="shared" si="30"/>
        <v>0</v>
      </c>
      <c r="R69" s="82">
        <f t="shared" si="31"/>
        <v>0</v>
      </c>
      <c r="S69" s="83">
        <f t="shared" si="32"/>
        <v>0</v>
      </c>
      <c r="T69" s="52">
        <f t="shared" si="52"/>
        <v>0</v>
      </c>
      <c r="U69" s="52">
        <f t="shared" si="37"/>
        <v>0</v>
      </c>
      <c r="V69" s="52">
        <f t="shared" si="38"/>
        <v>0</v>
      </c>
      <c r="W69" s="52">
        <f t="shared" si="39"/>
        <v>0</v>
      </c>
      <c r="X69" s="52">
        <f t="shared" si="40"/>
        <v>0</v>
      </c>
      <c r="Y69" s="52">
        <f t="shared" si="41"/>
        <v>0</v>
      </c>
      <c r="Z69" s="52">
        <f t="shared" si="42"/>
        <v>0</v>
      </c>
      <c r="AA69" s="52">
        <f t="shared" si="43"/>
        <v>0</v>
      </c>
      <c r="AB69" s="52">
        <f t="shared" si="44"/>
        <v>0</v>
      </c>
      <c r="AC69" s="52">
        <f t="shared" si="45"/>
        <v>0</v>
      </c>
      <c r="AD69" s="52">
        <f t="shared" si="46"/>
        <v>0</v>
      </c>
      <c r="AE69" s="52">
        <f t="shared" si="47"/>
        <v>0</v>
      </c>
      <c r="AF69" s="52">
        <f t="shared" si="48"/>
        <v>300000</v>
      </c>
      <c r="AG69" s="52">
        <f t="shared" si="49"/>
        <v>300000</v>
      </c>
      <c r="AH69" s="52">
        <f t="shared" si="50"/>
        <v>0</v>
      </c>
      <c r="AI69" s="83">
        <f t="shared" si="51"/>
        <v>0</v>
      </c>
      <c r="AJ69" s="84">
        <f t="shared" si="53"/>
        <v>0</v>
      </c>
      <c r="AK69" s="52">
        <f t="shared" si="54"/>
        <v>0</v>
      </c>
      <c r="AL69" s="52">
        <f t="shared" si="55"/>
        <v>0</v>
      </c>
      <c r="AM69" s="52">
        <f t="shared" si="56"/>
        <v>0</v>
      </c>
      <c r="AN69" s="52">
        <f t="shared" si="57"/>
        <v>0</v>
      </c>
      <c r="AO69" s="52">
        <f t="shared" si="58"/>
        <v>0</v>
      </c>
      <c r="AP69" s="52">
        <f t="shared" si="59"/>
        <v>0</v>
      </c>
      <c r="AQ69" s="52">
        <f t="shared" si="60"/>
        <v>0</v>
      </c>
      <c r="AR69" s="52">
        <f t="shared" si="61"/>
        <v>0</v>
      </c>
      <c r="AS69" s="52">
        <f t="shared" si="62"/>
        <v>0</v>
      </c>
      <c r="AT69" s="52">
        <f t="shared" si="63"/>
        <v>0</v>
      </c>
      <c r="AU69" s="52">
        <f t="shared" si="64"/>
        <v>0</v>
      </c>
      <c r="AV69" s="52">
        <f t="shared" si="65"/>
        <v>0</v>
      </c>
      <c r="AW69" s="52">
        <f t="shared" si="66"/>
        <v>0</v>
      </c>
      <c r="AX69" s="52">
        <f t="shared" si="67"/>
        <v>0</v>
      </c>
      <c r="AY69" s="52">
        <f t="shared" si="34"/>
        <v>0</v>
      </c>
      <c r="AZ69" s="52">
        <f t="shared" si="34"/>
        <v>0</v>
      </c>
      <c r="BA69" s="52">
        <f t="shared" si="34"/>
        <v>0</v>
      </c>
      <c r="BB69" s="52">
        <f t="shared" si="34"/>
        <v>0</v>
      </c>
      <c r="BC69" s="52">
        <f t="shared" si="34"/>
        <v>0</v>
      </c>
      <c r="BD69" s="52">
        <f t="shared" si="34"/>
        <v>0</v>
      </c>
      <c r="BE69" s="52">
        <f t="shared" si="34"/>
        <v>0</v>
      </c>
      <c r="BF69" s="52">
        <f t="shared" si="34"/>
        <v>0</v>
      </c>
      <c r="BG69" s="52">
        <f t="shared" si="34"/>
        <v>0</v>
      </c>
      <c r="BH69" s="52">
        <f t="shared" si="34"/>
        <v>0</v>
      </c>
      <c r="BI69" s="52">
        <f t="shared" si="34"/>
        <v>0</v>
      </c>
      <c r="BJ69" s="52">
        <f t="shared" si="34"/>
        <v>0</v>
      </c>
      <c r="BK69" s="52">
        <f t="shared" si="34"/>
        <v>200000</v>
      </c>
      <c r="BL69" s="52">
        <f t="shared" si="34"/>
        <v>500000</v>
      </c>
      <c r="BM69" s="85">
        <f t="shared" si="34"/>
        <v>500000</v>
      </c>
    </row>
    <row r="70" spans="1:65" x14ac:dyDescent="0.25">
      <c r="A70" s="78">
        <f t="shared" si="68"/>
        <v>195698.92473118269</v>
      </c>
      <c r="B70" s="45" t="s">
        <v>38</v>
      </c>
      <c r="C70" s="3">
        <v>600000</v>
      </c>
      <c r="D70" s="52">
        <f t="shared" si="36"/>
        <v>600000</v>
      </c>
      <c r="E70" s="80">
        <f t="shared" si="18"/>
        <v>3.0659340659340675</v>
      </c>
      <c r="F70" s="52">
        <f t="shared" si="19"/>
        <v>0</v>
      </c>
      <c r="G70" s="52">
        <f t="shared" si="20"/>
        <v>0</v>
      </c>
      <c r="H70" s="52">
        <f t="shared" si="21"/>
        <v>0</v>
      </c>
      <c r="I70" s="52">
        <f t="shared" si="22"/>
        <v>0</v>
      </c>
      <c r="J70" s="52">
        <f t="shared" si="23"/>
        <v>0</v>
      </c>
      <c r="K70" s="83">
        <f t="shared" si="24"/>
        <v>0</v>
      </c>
      <c r="L70" s="82">
        <f t="shared" si="25"/>
        <v>0</v>
      </c>
      <c r="M70" s="82">
        <f t="shared" si="26"/>
        <v>0</v>
      </c>
      <c r="N70" s="82">
        <f t="shared" si="27"/>
        <v>0</v>
      </c>
      <c r="O70" s="82">
        <f t="shared" si="28"/>
        <v>0</v>
      </c>
      <c r="P70" s="82">
        <f t="shared" si="29"/>
        <v>0</v>
      </c>
      <c r="Q70" s="82">
        <f t="shared" si="30"/>
        <v>0</v>
      </c>
      <c r="R70" s="82">
        <f t="shared" si="31"/>
        <v>0</v>
      </c>
      <c r="S70" s="83">
        <f t="shared" si="32"/>
        <v>0</v>
      </c>
      <c r="T70" s="52">
        <f t="shared" si="52"/>
        <v>0</v>
      </c>
      <c r="U70" s="52">
        <f t="shared" si="37"/>
        <v>0</v>
      </c>
      <c r="V70" s="52">
        <f t="shared" si="38"/>
        <v>0</v>
      </c>
      <c r="W70" s="52">
        <f t="shared" si="39"/>
        <v>0</v>
      </c>
      <c r="X70" s="52">
        <f t="shared" si="40"/>
        <v>0</v>
      </c>
      <c r="Y70" s="52">
        <f t="shared" si="41"/>
        <v>0</v>
      </c>
      <c r="Z70" s="52">
        <f t="shared" si="42"/>
        <v>0</v>
      </c>
      <c r="AA70" s="52">
        <f t="shared" si="43"/>
        <v>0</v>
      </c>
      <c r="AB70" s="52">
        <f t="shared" si="44"/>
        <v>0</v>
      </c>
      <c r="AC70" s="52">
        <f t="shared" si="45"/>
        <v>0</v>
      </c>
      <c r="AD70" s="52">
        <f t="shared" si="46"/>
        <v>0</v>
      </c>
      <c r="AE70" s="52">
        <f t="shared" si="47"/>
        <v>0</v>
      </c>
      <c r="AF70" s="52">
        <f t="shared" si="48"/>
        <v>0</v>
      </c>
      <c r="AG70" s="52">
        <f t="shared" si="49"/>
        <v>200000</v>
      </c>
      <c r="AH70" s="52">
        <f t="shared" si="50"/>
        <v>400000</v>
      </c>
      <c r="AI70" s="83">
        <f t="shared" si="51"/>
        <v>0</v>
      </c>
      <c r="AJ70" s="84">
        <f t="shared" si="53"/>
        <v>0</v>
      </c>
      <c r="AK70" s="52">
        <f t="shared" si="54"/>
        <v>0</v>
      </c>
      <c r="AL70" s="52">
        <f t="shared" si="55"/>
        <v>0</v>
      </c>
      <c r="AM70" s="52">
        <f t="shared" si="56"/>
        <v>0</v>
      </c>
      <c r="AN70" s="52">
        <f t="shared" si="57"/>
        <v>0</v>
      </c>
      <c r="AO70" s="52">
        <f t="shared" si="58"/>
        <v>0</v>
      </c>
      <c r="AP70" s="52">
        <f t="shared" si="59"/>
        <v>0</v>
      </c>
      <c r="AQ70" s="52">
        <f t="shared" si="60"/>
        <v>0</v>
      </c>
      <c r="AR70" s="52">
        <f t="shared" si="61"/>
        <v>0</v>
      </c>
      <c r="AS70" s="52">
        <f t="shared" si="62"/>
        <v>0</v>
      </c>
      <c r="AT70" s="52">
        <f t="shared" si="63"/>
        <v>0</v>
      </c>
      <c r="AU70" s="52">
        <f t="shared" si="64"/>
        <v>0</v>
      </c>
      <c r="AV70" s="52">
        <f t="shared" si="65"/>
        <v>0</v>
      </c>
      <c r="AW70" s="52">
        <f t="shared" si="66"/>
        <v>0</v>
      </c>
      <c r="AX70" s="52">
        <f t="shared" si="67"/>
        <v>0</v>
      </c>
      <c r="AY70" s="52">
        <f t="shared" ref="AY70:BM71" si="69">AY69-U70</f>
        <v>0</v>
      </c>
      <c r="AZ70" s="52">
        <f t="shared" si="69"/>
        <v>0</v>
      </c>
      <c r="BA70" s="52">
        <f t="shared" si="69"/>
        <v>0</v>
      </c>
      <c r="BB70" s="52">
        <f t="shared" si="69"/>
        <v>0</v>
      </c>
      <c r="BC70" s="52">
        <f t="shared" si="69"/>
        <v>0</v>
      </c>
      <c r="BD70" s="52">
        <f t="shared" si="69"/>
        <v>0</v>
      </c>
      <c r="BE70" s="52">
        <f t="shared" si="69"/>
        <v>0</v>
      </c>
      <c r="BF70" s="52">
        <f t="shared" si="69"/>
        <v>0</v>
      </c>
      <c r="BG70" s="52">
        <f t="shared" si="69"/>
        <v>0</v>
      </c>
      <c r="BH70" s="52">
        <f t="shared" si="69"/>
        <v>0</v>
      </c>
      <c r="BI70" s="52">
        <f t="shared" si="69"/>
        <v>0</v>
      </c>
      <c r="BJ70" s="52">
        <f t="shared" si="69"/>
        <v>0</v>
      </c>
      <c r="BK70" s="52">
        <f t="shared" si="69"/>
        <v>0</v>
      </c>
      <c r="BL70" s="52">
        <f t="shared" si="69"/>
        <v>100000</v>
      </c>
      <c r="BM70" s="85">
        <f t="shared" si="69"/>
        <v>500000</v>
      </c>
    </row>
    <row r="71" spans="1:65" ht="15.75" thickBot="1" x14ac:dyDescent="0.3">
      <c r="A71" s="78">
        <f t="shared" si="68"/>
        <v>188508.06451612891</v>
      </c>
      <c r="B71" s="45" t="s">
        <v>39</v>
      </c>
      <c r="C71" s="3">
        <v>600000</v>
      </c>
      <c r="D71" s="86">
        <f t="shared" si="36"/>
        <v>600000</v>
      </c>
      <c r="E71" s="80">
        <f>D71/(F71/$F$52+G71/$G$52+H71/$H$52+I71/$I$52+J71/$J$52+K71/$K$52+L71/$L$52+M71/$M$52+N71/$N$52+O71/$O$52+P71/$P$52+Q71/$Q$52+R71/$R$52+S71/$S$52+T71/$T$52+U71/$U$52+V71/$V$52+W71/$W$52+X71/$X$52+Y71/$Y$52+Z71/$Z$52+AA71/$AA$52+AB71/$AB$52+AC71/$AC$52+AD71/$AD$52+AE71/$AE$52+AF71/$AF$52+AG71/$AG$52+AH71/$AH$52+AI71/$AI$52)</f>
        <v>3.1828877005347613</v>
      </c>
      <c r="F71" s="52">
        <f t="shared" si="19"/>
        <v>0</v>
      </c>
      <c r="G71" s="52">
        <f t="shared" si="20"/>
        <v>0</v>
      </c>
      <c r="H71" s="52">
        <f t="shared" si="21"/>
        <v>0</v>
      </c>
      <c r="I71" s="52">
        <f t="shared" si="22"/>
        <v>0</v>
      </c>
      <c r="J71" s="52">
        <f t="shared" si="23"/>
        <v>0</v>
      </c>
      <c r="K71" s="83">
        <f t="shared" si="24"/>
        <v>0</v>
      </c>
      <c r="L71" s="82">
        <f t="shared" si="25"/>
        <v>0</v>
      </c>
      <c r="M71" s="82">
        <f t="shared" si="26"/>
        <v>0</v>
      </c>
      <c r="N71" s="82">
        <f t="shared" si="27"/>
        <v>0</v>
      </c>
      <c r="O71" s="82">
        <f t="shared" si="28"/>
        <v>0</v>
      </c>
      <c r="P71" s="82">
        <f t="shared" si="29"/>
        <v>0</v>
      </c>
      <c r="Q71" s="82">
        <f t="shared" si="30"/>
        <v>0</v>
      </c>
      <c r="R71" s="82">
        <f t="shared" si="31"/>
        <v>0</v>
      </c>
      <c r="S71" s="83">
        <f t="shared" si="32"/>
        <v>0</v>
      </c>
      <c r="T71" s="52">
        <f t="shared" si="52"/>
        <v>0</v>
      </c>
      <c r="U71" s="52">
        <f>IF((IF((D71-F71-G71-H71-I71-J71-K71-L71-M71-N71-O71-P71-Q71-R71-S71-T71)&lt;=AY70,(D71-F71-G71-H71-I71-J71-K71-L71-M71-N71-O71-P71-Q71-R71-S71-T71),AY70))&gt;0,(IF((D71-F71-G71-H71-I71-J71-K71-L71-M71-N71-O71-P71-Q71-R71-S71-T71)&lt;=AY70,(D71-F71-G71-H71-I71-J71-K71-L71-M71-N71-O71-P71-Q71-R71-S71-T71),AY70)),0)</f>
        <v>0</v>
      </c>
      <c r="V71" s="52">
        <f t="shared" si="38"/>
        <v>0</v>
      </c>
      <c r="W71" s="52">
        <f t="shared" si="39"/>
        <v>0</v>
      </c>
      <c r="X71" s="52">
        <f t="shared" si="40"/>
        <v>0</v>
      </c>
      <c r="Y71" s="52">
        <f t="shared" si="41"/>
        <v>0</v>
      </c>
      <c r="Z71" s="52">
        <f t="shared" si="42"/>
        <v>0</v>
      </c>
      <c r="AA71" s="52">
        <f t="shared" si="43"/>
        <v>0</v>
      </c>
      <c r="AB71" s="52">
        <f t="shared" si="44"/>
        <v>0</v>
      </c>
      <c r="AC71" s="52">
        <f t="shared" si="45"/>
        <v>0</v>
      </c>
      <c r="AD71" s="52">
        <f t="shared" si="46"/>
        <v>0</v>
      </c>
      <c r="AE71" s="52">
        <f>IF((IF((D71-F71-G71-H71-I71-J71-K71-L71-M71-N71-O71-P71-Q71-R71-S71-T71-U71-V71-W71-X71-Y71-Z71-AA71-AB71-AC71-AD71)&lt;=BI70,(D71-F71-G71-H71-I71-J71-K71-L71-M71-N71-O71-P71-Q71-R71-S71-T71-U71-V71-W71-X71-Y71-Z71-AA71-AB71-AC71-AD71),BI70))&gt;0,(IF((D71-F71-G71-H71-I71-J71-K71-L71-M71-N71-O71-P71-Q71-R71-S71-T71-U71-V71-W71-X71-Y71-Z71-AA71-AB71-AC71-AD71)&lt;=BI70,(D71-F71-G71-H71-I71-J71-K71-L71-M71-N71-O71-P71-Q71-R71-S71-T71-U71-V71-W71-X71-Y71-Z71-AA71-AB71-AC71-AD71),BI70)),0)</f>
        <v>0</v>
      </c>
      <c r="AF71" s="52">
        <f t="shared" si="48"/>
        <v>0</v>
      </c>
      <c r="AG71" s="52">
        <f t="shared" si="49"/>
        <v>0</v>
      </c>
      <c r="AH71" s="52">
        <f t="shared" si="50"/>
        <v>100000</v>
      </c>
      <c r="AI71" s="83">
        <f t="shared" si="51"/>
        <v>500000</v>
      </c>
      <c r="AJ71" s="87">
        <f t="shared" si="53"/>
        <v>0</v>
      </c>
      <c r="AK71" s="88">
        <f t="shared" si="54"/>
        <v>0</v>
      </c>
      <c r="AL71" s="88">
        <f t="shared" si="55"/>
        <v>0</v>
      </c>
      <c r="AM71" s="88">
        <f t="shared" si="56"/>
        <v>0</v>
      </c>
      <c r="AN71" s="88">
        <f t="shared" si="57"/>
        <v>0</v>
      </c>
      <c r="AO71" s="88">
        <f t="shared" si="58"/>
        <v>0</v>
      </c>
      <c r="AP71" s="88">
        <f t="shared" si="59"/>
        <v>0</v>
      </c>
      <c r="AQ71" s="88">
        <f t="shared" si="60"/>
        <v>0</v>
      </c>
      <c r="AR71" s="88">
        <f t="shared" si="61"/>
        <v>0</v>
      </c>
      <c r="AS71" s="88">
        <f t="shared" si="62"/>
        <v>0</v>
      </c>
      <c r="AT71" s="88">
        <f t="shared" si="63"/>
        <v>0</v>
      </c>
      <c r="AU71" s="88">
        <f t="shared" si="64"/>
        <v>0</v>
      </c>
      <c r="AV71" s="88">
        <f t="shared" si="65"/>
        <v>0</v>
      </c>
      <c r="AW71" s="88">
        <f t="shared" si="66"/>
        <v>0</v>
      </c>
      <c r="AX71" s="88">
        <f t="shared" si="67"/>
        <v>0</v>
      </c>
      <c r="AY71" s="88">
        <f t="shared" si="69"/>
        <v>0</v>
      </c>
      <c r="AZ71" s="88">
        <f t="shared" si="69"/>
        <v>0</v>
      </c>
      <c r="BA71" s="88">
        <f t="shared" si="69"/>
        <v>0</v>
      </c>
      <c r="BB71" s="88">
        <f t="shared" si="69"/>
        <v>0</v>
      </c>
      <c r="BC71" s="88">
        <f t="shared" si="69"/>
        <v>0</v>
      </c>
      <c r="BD71" s="88">
        <f t="shared" si="69"/>
        <v>0</v>
      </c>
      <c r="BE71" s="88">
        <f t="shared" si="69"/>
        <v>0</v>
      </c>
      <c r="BF71" s="88">
        <f t="shared" si="69"/>
        <v>0</v>
      </c>
      <c r="BG71" s="88">
        <f t="shared" si="69"/>
        <v>0</v>
      </c>
      <c r="BH71" s="88">
        <f t="shared" si="69"/>
        <v>0</v>
      </c>
      <c r="BI71" s="88">
        <f t="shared" si="69"/>
        <v>0</v>
      </c>
      <c r="BJ71" s="88">
        <f t="shared" si="69"/>
        <v>0</v>
      </c>
      <c r="BK71" s="88">
        <f t="shared" si="69"/>
        <v>0</v>
      </c>
      <c r="BL71" s="88">
        <f t="shared" si="69"/>
        <v>0</v>
      </c>
      <c r="BM71" s="89">
        <f>BM70-AI71</f>
        <v>0</v>
      </c>
    </row>
    <row r="72" spans="1:65" ht="18" thickBot="1" x14ac:dyDescent="0.3">
      <c r="A72" s="90">
        <f>SUM(A53:A71)</f>
        <v>27078190.262896881</v>
      </c>
      <c r="C72" s="91">
        <f>SUM(C53:C71)</f>
        <v>14700000</v>
      </c>
      <c r="D72" s="57">
        <f>SUM(D53:D71)</f>
        <v>15000000</v>
      </c>
      <c r="BM72" s="92">
        <f>SUM(AJ71:BM71)</f>
        <v>0</v>
      </c>
    </row>
    <row r="73" spans="1:65" x14ac:dyDescent="0.25">
      <c r="E73" s="93"/>
    </row>
    <row r="74" spans="1:65" x14ac:dyDescent="0.25">
      <c r="G74" s="42" t="s">
        <v>81</v>
      </c>
    </row>
  </sheetData>
  <sheetProtection algorithmName="SHA-512" hashValue="KWMMjjhaLyt1GVZ0dpJvzFQpKS50K67BGFeGp7N/2V4Yb6qXlk8nzcly1qh3usxTJ/uo1F9Z3mfN0FDZAQXXOA==" saltValue="5cc8QZokc0siGVPIRKwZXw==" spinCount="100000" sheet="1" objects="1" scenarios="1"/>
  <mergeCells count="6">
    <mergeCell ref="AJ51:BM51"/>
    <mergeCell ref="A51:A52"/>
    <mergeCell ref="E51:E52"/>
    <mergeCell ref="B51:B52"/>
    <mergeCell ref="C51:D51"/>
    <mergeCell ref="F51:AI51"/>
  </mergeCells>
  <conditionalFormatting sqref="D72">
    <cfRule type="expression" dxfId="0" priority="1">
      <formula>$D$72&gt;$E$47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6"/>
  <sheetViews>
    <sheetView showZeros="0"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10" sqref="P10"/>
    </sheetView>
  </sheetViews>
  <sheetFormatPr defaultRowHeight="15" x14ac:dyDescent="0.25"/>
  <cols>
    <col min="1" max="1" width="12.140625" style="7" customWidth="1"/>
    <col min="2" max="2" width="11.28515625" style="7" customWidth="1"/>
    <col min="3" max="7" width="12.85546875" style="7" customWidth="1"/>
    <col min="8" max="9" width="12.85546875" style="8" customWidth="1"/>
    <col min="10" max="14" width="12.85546875" style="9" customWidth="1"/>
  </cols>
  <sheetData>
    <row r="2" spans="1:14" ht="17.25" customHeight="1" x14ac:dyDescent="0.25">
      <c r="A2" s="30" t="s">
        <v>41</v>
      </c>
      <c r="B2" s="28" t="s">
        <v>42</v>
      </c>
      <c r="C2" s="26" t="s">
        <v>50</v>
      </c>
      <c r="D2" s="27"/>
      <c r="E2" s="27"/>
      <c r="F2" s="27"/>
      <c r="G2" s="27"/>
      <c r="H2" s="27"/>
      <c r="I2" s="27"/>
      <c r="J2" s="26" t="s">
        <v>58</v>
      </c>
      <c r="K2" s="27"/>
      <c r="L2" s="27"/>
      <c r="M2" s="27"/>
      <c r="N2" s="27"/>
    </row>
    <row r="3" spans="1:14" ht="18" customHeight="1" x14ac:dyDescent="0.25">
      <c r="A3" s="31"/>
      <c r="B3" s="32"/>
      <c r="C3" s="28" t="s">
        <v>44</v>
      </c>
      <c r="D3" s="28"/>
      <c r="E3" s="29"/>
      <c r="F3" s="30" t="s">
        <v>73</v>
      </c>
      <c r="G3" s="30"/>
      <c r="H3" s="28" t="s">
        <v>72</v>
      </c>
      <c r="I3" s="28" t="s">
        <v>71</v>
      </c>
      <c r="J3" s="28" t="s">
        <v>57</v>
      </c>
      <c r="K3" s="28"/>
      <c r="L3" s="29"/>
      <c r="M3" s="28" t="s">
        <v>72</v>
      </c>
      <c r="N3" s="28" t="s">
        <v>71</v>
      </c>
    </row>
    <row r="4" spans="1:14" ht="60" customHeight="1" x14ac:dyDescent="0.25">
      <c r="A4" s="31"/>
      <c r="B4" s="32"/>
      <c r="C4" s="16" t="s">
        <v>43</v>
      </c>
      <c r="D4" s="20" t="s">
        <v>49</v>
      </c>
      <c r="E4" s="20" t="s">
        <v>17</v>
      </c>
      <c r="F4" s="20" t="s">
        <v>47</v>
      </c>
      <c r="G4" s="20" t="s">
        <v>48</v>
      </c>
      <c r="H4" s="28"/>
      <c r="I4" s="33"/>
      <c r="J4" s="16" t="s">
        <v>43</v>
      </c>
      <c r="K4" s="20" t="s">
        <v>49</v>
      </c>
      <c r="L4" s="20" t="s">
        <v>17</v>
      </c>
      <c r="M4" s="34"/>
      <c r="N4" s="31"/>
    </row>
    <row r="5" spans="1:14" ht="15.75" customHeight="1" x14ac:dyDescent="0.25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</row>
    <row r="6" spans="1:14" ht="15.75" customHeight="1" x14ac:dyDescent="0.25">
      <c r="A6" s="19" t="s">
        <v>20</v>
      </c>
      <c r="B6" s="16" t="s">
        <v>45</v>
      </c>
      <c r="C6" s="4">
        <f>SUM(C7:C14)</f>
        <v>15000000</v>
      </c>
      <c r="D6" s="25">
        <f>'Исходные данные'!D16</f>
        <v>0.03</v>
      </c>
      <c r="E6" s="15">
        <f>SUM(E7:E14)</f>
        <v>450000</v>
      </c>
      <c r="F6" s="13"/>
      <c r="G6" s="38"/>
      <c r="H6" s="37"/>
      <c r="I6" s="37"/>
      <c r="J6" s="15">
        <f>SUM(J7:J14)</f>
        <v>15000000</v>
      </c>
      <c r="K6" s="25">
        <f>D6</f>
        <v>0.03</v>
      </c>
      <c r="L6" s="15">
        <f>SUM(L7:L14)</f>
        <v>450000</v>
      </c>
      <c r="M6" s="21">
        <f>G6/J6</f>
        <v>0</v>
      </c>
      <c r="N6" s="22">
        <f t="shared" ref="N6" si="0">M6/K6/3*12</f>
        <v>0</v>
      </c>
    </row>
    <row r="7" spans="1:14" x14ac:dyDescent="0.25">
      <c r="A7" s="14" t="s">
        <v>80</v>
      </c>
      <c r="B7" s="17" t="str">
        <f>'Исходные данные'!B4</f>
        <v>V</v>
      </c>
      <c r="C7" s="17">
        <f>E7/$D$6</f>
        <v>4500000</v>
      </c>
      <c r="D7" s="21"/>
      <c r="E7" s="13">
        <f>'Исходные данные'!$C$53*'Исходные данные'!$H$4</f>
        <v>135000</v>
      </c>
      <c r="F7" s="5"/>
      <c r="G7" s="29"/>
      <c r="H7" s="30"/>
      <c r="I7" s="30"/>
      <c r="J7" s="13">
        <f t="shared" ref="J7:J14" si="1">C7</f>
        <v>4500000</v>
      </c>
      <c r="K7" s="21"/>
      <c r="L7" s="13">
        <f t="shared" ref="L7:L14" si="2">E7</f>
        <v>135000</v>
      </c>
      <c r="M7" s="21"/>
      <c r="N7" s="22"/>
    </row>
    <row r="8" spans="1:14" x14ac:dyDescent="0.25">
      <c r="A8" s="14"/>
      <c r="B8" s="6" t="str">
        <f>'Исходные данные'!B5</f>
        <v>G*</v>
      </c>
      <c r="C8" s="17">
        <f>E8/$D$6</f>
        <v>3750000</v>
      </c>
      <c r="D8" s="21"/>
      <c r="E8" s="13">
        <f>'Исходные данные'!$C$53*'Исходные данные'!$H$5</f>
        <v>112500</v>
      </c>
      <c r="F8" s="13"/>
      <c r="G8" s="29"/>
      <c r="H8" s="30"/>
      <c r="I8" s="30"/>
      <c r="J8" s="13">
        <f t="shared" si="1"/>
        <v>3750000</v>
      </c>
      <c r="K8" s="21"/>
      <c r="L8" s="13">
        <f t="shared" si="2"/>
        <v>112500</v>
      </c>
      <c r="M8" s="21"/>
      <c r="N8" s="22"/>
    </row>
    <row r="9" spans="1:14" x14ac:dyDescent="0.25">
      <c r="A9" s="14"/>
      <c r="B9" s="6" t="str">
        <f>'Исходные данные'!B6</f>
        <v>M*</v>
      </c>
      <c r="C9" s="17">
        <f t="shared" ref="C9:C14" si="3">E9/$D$6</f>
        <v>2250000</v>
      </c>
      <c r="D9" s="21"/>
      <c r="E9" s="13">
        <f>'Исходные данные'!$C$53*'Исходные данные'!$H$6</f>
        <v>67500</v>
      </c>
      <c r="F9" s="13"/>
      <c r="G9" s="29"/>
      <c r="H9" s="30"/>
      <c r="I9" s="30"/>
      <c r="J9" s="13">
        <f t="shared" si="1"/>
        <v>2250000</v>
      </c>
      <c r="K9" s="21"/>
      <c r="L9" s="13">
        <f t="shared" si="2"/>
        <v>67500</v>
      </c>
      <c r="M9" s="21"/>
      <c r="N9" s="22"/>
    </row>
    <row r="10" spans="1:14" x14ac:dyDescent="0.25">
      <c r="A10" s="14"/>
      <c r="B10" s="17" t="str">
        <f>'Исходные данные'!B7</f>
        <v>F</v>
      </c>
      <c r="C10" s="17">
        <f t="shared" si="3"/>
        <v>750000</v>
      </c>
      <c r="D10" s="21"/>
      <c r="E10" s="13">
        <f>'Исходные данные'!$C$53*'Исходные данные'!$H$7</f>
        <v>22500</v>
      </c>
      <c r="F10" s="13"/>
      <c r="G10" s="29"/>
      <c r="H10" s="30"/>
      <c r="I10" s="30"/>
      <c r="J10" s="13">
        <f t="shared" si="1"/>
        <v>750000</v>
      </c>
      <c r="K10" s="21"/>
      <c r="L10" s="13">
        <f t="shared" si="2"/>
        <v>22500</v>
      </c>
      <c r="M10" s="21"/>
      <c r="N10" s="22"/>
    </row>
    <row r="11" spans="1:14" x14ac:dyDescent="0.25">
      <c r="A11" s="14"/>
      <c r="B11" s="6" t="str">
        <f>'Исходные данные'!B8</f>
        <v>С*</v>
      </c>
      <c r="C11" s="17">
        <f t="shared" si="3"/>
        <v>750000</v>
      </c>
      <c r="D11" s="21"/>
      <c r="E11" s="13">
        <f>'Исходные данные'!$C$53*'Исходные данные'!$H$8</f>
        <v>22500</v>
      </c>
      <c r="F11" s="13"/>
      <c r="G11" s="29"/>
      <c r="H11" s="30"/>
      <c r="I11" s="30"/>
      <c r="J11" s="13">
        <f t="shared" si="1"/>
        <v>750000</v>
      </c>
      <c r="K11" s="21"/>
      <c r="L11" s="13">
        <f t="shared" si="2"/>
        <v>22500</v>
      </c>
      <c r="M11" s="21"/>
      <c r="N11" s="22"/>
    </row>
    <row r="12" spans="1:14" x14ac:dyDescent="0.25">
      <c r="A12" s="14"/>
      <c r="B12" s="17" t="str">
        <f>'Исходные данные'!B9</f>
        <v xml:space="preserve">I </v>
      </c>
      <c r="C12" s="17">
        <f t="shared" si="3"/>
        <v>750000</v>
      </c>
      <c r="D12" s="21"/>
      <c r="E12" s="13">
        <f>'Исходные данные'!$C$53*'Исходные данные'!$H$9</f>
        <v>22500</v>
      </c>
      <c r="F12" s="13"/>
      <c r="G12" s="29"/>
      <c r="H12" s="30"/>
      <c r="I12" s="30"/>
      <c r="J12" s="13">
        <f t="shared" si="1"/>
        <v>750000</v>
      </c>
      <c r="K12" s="21"/>
      <c r="L12" s="13">
        <f t="shared" si="2"/>
        <v>22500</v>
      </c>
      <c r="M12" s="21"/>
      <c r="N12" s="22"/>
    </row>
    <row r="13" spans="1:14" x14ac:dyDescent="0.25">
      <c r="A13" s="14"/>
      <c r="B13" s="6" t="str">
        <f>'Исходные данные'!B10</f>
        <v>R*</v>
      </c>
      <c r="C13" s="17">
        <f t="shared" si="3"/>
        <v>1500000</v>
      </c>
      <c r="D13" s="21"/>
      <c r="E13" s="13">
        <f>'Исходные данные'!$C$53*'Исходные данные'!$H$10</f>
        <v>45000</v>
      </c>
      <c r="F13" s="13"/>
      <c r="G13" s="29"/>
      <c r="H13" s="30"/>
      <c r="I13" s="30"/>
      <c r="J13" s="13">
        <f t="shared" si="1"/>
        <v>1500000</v>
      </c>
      <c r="K13" s="21"/>
      <c r="L13" s="13">
        <f t="shared" si="2"/>
        <v>45000</v>
      </c>
      <c r="M13" s="21"/>
      <c r="N13" s="22"/>
    </row>
    <row r="14" spans="1:14" x14ac:dyDescent="0.25">
      <c r="A14" s="14"/>
      <c r="B14" s="6" t="str">
        <f>'Исходные данные'!B11</f>
        <v>А*</v>
      </c>
      <c r="C14" s="17">
        <f t="shared" si="3"/>
        <v>750000</v>
      </c>
      <c r="D14" s="21"/>
      <c r="E14" s="13">
        <f>'Исходные данные'!$C$53*'Исходные данные'!$H$11</f>
        <v>22500</v>
      </c>
      <c r="F14" s="13"/>
      <c r="G14" s="29"/>
      <c r="H14" s="30"/>
      <c r="I14" s="30"/>
      <c r="J14" s="13">
        <f t="shared" si="1"/>
        <v>750000</v>
      </c>
      <c r="K14" s="21"/>
      <c r="L14" s="13">
        <f t="shared" si="2"/>
        <v>22500</v>
      </c>
      <c r="M14" s="21"/>
      <c r="N14" s="22"/>
    </row>
    <row r="15" spans="1:14" s="1" customFormat="1" x14ac:dyDescent="0.25">
      <c r="A15" s="19" t="s">
        <v>21</v>
      </c>
      <c r="B15" s="4" t="str">
        <f t="shared" ref="B15:B46" si="4">B6</f>
        <v>ВСЕГО:</v>
      </c>
      <c r="C15" s="15">
        <f>SUM(C16:C23)</f>
        <v>4750000</v>
      </c>
      <c r="D15" s="25">
        <f>'Исходные данные'!E54</f>
        <v>0.14736842105263157</v>
      </c>
      <c r="E15" s="15">
        <f>SUM(E16:E23)</f>
        <v>700000</v>
      </c>
      <c r="F15" s="15"/>
      <c r="G15" s="35"/>
      <c r="H15" s="36"/>
      <c r="I15" s="36"/>
      <c r="J15" s="15">
        <f>SUM(J16:J23)</f>
        <v>19750000</v>
      </c>
      <c r="K15" s="25">
        <f>L15/J15</f>
        <v>5.8227848101265821E-2</v>
      </c>
      <c r="L15" s="15">
        <f>SUM(L16:L23)</f>
        <v>1150000</v>
      </c>
      <c r="M15" s="21">
        <f>(G6+G15)/J15</f>
        <v>0</v>
      </c>
      <c r="N15" s="22">
        <f t="shared" ref="N15" si="5">M15/K15/3*12</f>
        <v>0</v>
      </c>
    </row>
    <row r="16" spans="1:14" s="1" customFormat="1" x14ac:dyDescent="0.25">
      <c r="A16" s="14"/>
      <c r="B16" s="17" t="str">
        <f t="shared" si="4"/>
        <v>V</v>
      </c>
      <c r="C16" s="17">
        <f>E16/$D$15</f>
        <v>1425000.0000000002</v>
      </c>
      <c r="D16" s="21"/>
      <c r="E16" s="13">
        <f>'Исходные данные'!$C$54*'Исходные данные'!$H$4</f>
        <v>210000</v>
      </c>
      <c r="F16" s="18"/>
      <c r="G16" s="31"/>
      <c r="H16" s="33"/>
      <c r="I16" s="33"/>
      <c r="J16" s="13">
        <f>C7+C16</f>
        <v>5925000</v>
      </c>
      <c r="K16" s="21"/>
      <c r="L16" s="13">
        <f>E7+E16</f>
        <v>345000</v>
      </c>
      <c r="M16" s="21"/>
      <c r="N16" s="22"/>
    </row>
    <row r="17" spans="1:14" s="1" customFormat="1" x14ac:dyDescent="0.25">
      <c r="A17" s="14"/>
      <c r="B17" s="6" t="str">
        <f t="shared" si="4"/>
        <v>G*</v>
      </c>
      <c r="C17" s="17">
        <f t="shared" ref="C17:C23" si="6">E17/$D$15</f>
        <v>1187500</v>
      </c>
      <c r="D17" s="21"/>
      <c r="E17" s="13">
        <f>'Исходные данные'!$C$54*'Исходные данные'!$H$5</f>
        <v>175000</v>
      </c>
      <c r="F17" s="18"/>
      <c r="G17" s="31"/>
      <c r="H17" s="33"/>
      <c r="I17" s="33"/>
      <c r="J17" s="13">
        <f t="shared" ref="J17:J22" si="7">C8+C17</f>
        <v>4937500</v>
      </c>
      <c r="K17" s="21"/>
      <c r="L17" s="13">
        <f t="shared" ref="L17:L23" si="8">E8+E17</f>
        <v>287500</v>
      </c>
      <c r="M17" s="21"/>
      <c r="N17" s="22"/>
    </row>
    <row r="18" spans="1:14" s="1" customFormat="1" x14ac:dyDescent="0.25">
      <c r="A18" s="14"/>
      <c r="B18" s="6" t="str">
        <f t="shared" si="4"/>
        <v>M*</v>
      </c>
      <c r="C18" s="17">
        <f t="shared" si="6"/>
        <v>712500.00000000012</v>
      </c>
      <c r="D18" s="21"/>
      <c r="E18" s="13">
        <f>'Исходные данные'!$C$54*'Исходные данные'!$H$6</f>
        <v>105000</v>
      </c>
      <c r="F18" s="18"/>
      <c r="G18" s="31"/>
      <c r="H18" s="33"/>
      <c r="I18" s="33"/>
      <c r="J18" s="13">
        <f t="shared" si="7"/>
        <v>2962500</v>
      </c>
      <c r="K18" s="21"/>
      <c r="L18" s="13">
        <f t="shared" si="8"/>
        <v>172500</v>
      </c>
      <c r="M18" s="21"/>
      <c r="N18" s="22"/>
    </row>
    <row r="19" spans="1:14" s="1" customFormat="1" x14ac:dyDescent="0.25">
      <c r="A19" s="14"/>
      <c r="B19" s="17" t="str">
        <f t="shared" si="4"/>
        <v>F</v>
      </c>
      <c r="C19" s="17">
        <f t="shared" si="6"/>
        <v>237500.00000000003</v>
      </c>
      <c r="D19" s="21"/>
      <c r="E19" s="13">
        <f>'Исходные данные'!$C$54*'Исходные данные'!$H$7</f>
        <v>35000</v>
      </c>
      <c r="F19" s="18"/>
      <c r="G19" s="31"/>
      <c r="H19" s="33"/>
      <c r="I19" s="33"/>
      <c r="J19" s="13">
        <f t="shared" si="7"/>
        <v>987500</v>
      </c>
      <c r="K19" s="21"/>
      <c r="L19" s="13">
        <f t="shared" si="8"/>
        <v>57500</v>
      </c>
      <c r="M19" s="21"/>
      <c r="N19" s="22"/>
    </row>
    <row r="20" spans="1:14" s="1" customFormat="1" x14ac:dyDescent="0.25">
      <c r="A20" s="14"/>
      <c r="B20" s="6" t="str">
        <f t="shared" si="4"/>
        <v>С*</v>
      </c>
      <c r="C20" s="17">
        <f t="shared" si="6"/>
        <v>237500.00000000003</v>
      </c>
      <c r="D20" s="21"/>
      <c r="E20" s="13">
        <f>'Исходные данные'!$C$54*'Исходные данные'!$H$8</f>
        <v>35000</v>
      </c>
      <c r="F20" s="18"/>
      <c r="G20" s="31"/>
      <c r="H20" s="33"/>
      <c r="I20" s="33"/>
      <c r="J20" s="13">
        <f t="shared" si="7"/>
        <v>987500</v>
      </c>
      <c r="K20" s="21"/>
      <c r="L20" s="13">
        <f t="shared" si="8"/>
        <v>57500</v>
      </c>
      <c r="M20" s="21"/>
      <c r="N20" s="22"/>
    </row>
    <row r="21" spans="1:14" s="1" customFormat="1" x14ac:dyDescent="0.25">
      <c r="A21" s="14"/>
      <c r="B21" s="17" t="str">
        <f t="shared" si="4"/>
        <v xml:space="preserve">I </v>
      </c>
      <c r="C21" s="17">
        <f t="shared" si="6"/>
        <v>237500.00000000003</v>
      </c>
      <c r="D21" s="21"/>
      <c r="E21" s="13">
        <f>'Исходные данные'!$C$54*'Исходные данные'!$H$9</f>
        <v>35000</v>
      </c>
      <c r="F21" s="18"/>
      <c r="G21" s="31"/>
      <c r="H21" s="33"/>
      <c r="I21" s="33"/>
      <c r="J21" s="13">
        <f t="shared" si="7"/>
        <v>987500</v>
      </c>
      <c r="K21" s="21"/>
      <c r="L21" s="13">
        <f t="shared" si="8"/>
        <v>57500</v>
      </c>
      <c r="M21" s="21"/>
      <c r="N21" s="22"/>
    </row>
    <row r="22" spans="1:14" s="1" customFormat="1" x14ac:dyDescent="0.25">
      <c r="A22" s="14"/>
      <c r="B22" s="6" t="str">
        <f t="shared" si="4"/>
        <v>R*</v>
      </c>
      <c r="C22" s="17">
        <f t="shared" si="6"/>
        <v>475000.00000000006</v>
      </c>
      <c r="D22" s="21"/>
      <c r="E22" s="13">
        <f>'Исходные данные'!$C$54*'Исходные данные'!$H$10</f>
        <v>70000</v>
      </c>
      <c r="F22" s="18"/>
      <c r="G22" s="31"/>
      <c r="H22" s="33"/>
      <c r="I22" s="33"/>
      <c r="J22" s="13">
        <f t="shared" si="7"/>
        <v>1975000</v>
      </c>
      <c r="K22" s="21"/>
      <c r="L22" s="13">
        <f t="shared" si="8"/>
        <v>115000</v>
      </c>
      <c r="M22" s="21"/>
      <c r="N22" s="22"/>
    </row>
    <row r="23" spans="1:14" s="1" customFormat="1" x14ac:dyDescent="0.25">
      <c r="A23" s="14"/>
      <c r="B23" s="6" t="str">
        <f t="shared" si="4"/>
        <v>А*</v>
      </c>
      <c r="C23" s="17">
        <f t="shared" si="6"/>
        <v>237500.00000000003</v>
      </c>
      <c r="D23" s="21"/>
      <c r="E23" s="13">
        <f>'Исходные данные'!$C$54*'Исходные данные'!$H$11</f>
        <v>35000</v>
      </c>
      <c r="F23" s="18"/>
      <c r="G23" s="31"/>
      <c r="H23" s="33"/>
      <c r="I23" s="33"/>
      <c r="J23" s="13">
        <f>C14+C23</f>
        <v>987500</v>
      </c>
      <c r="K23" s="21"/>
      <c r="L23" s="13">
        <f t="shared" si="8"/>
        <v>57500</v>
      </c>
      <c r="M23" s="21"/>
      <c r="N23" s="22"/>
    </row>
    <row r="24" spans="1:14" s="1" customFormat="1" x14ac:dyDescent="0.25">
      <c r="A24" s="19" t="s">
        <v>22</v>
      </c>
      <c r="B24" s="4" t="str">
        <f t="shared" si="4"/>
        <v>ВСЕГО:</v>
      </c>
      <c r="C24" s="15">
        <f>SUM(C25:C32)</f>
        <v>1800000</v>
      </c>
      <c r="D24" s="25">
        <f>'Исходные данные'!E55</f>
        <v>0.3888888888888889</v>
      </c>
      <c r="E24" s="15">
        <f>SUM(E25:E32)</f>
        <v>700000</v>
      </c>
      <c r="F24" s="15"/>
      <c r="G24" s="35"/>
      <c r="H24" s="36"/>
      <c r="I24" s="36"/>
      <c r="J24" s="15">
        <f>SUM(J25:J32)</f>
        <v>21550000</v>
      </c>
      <c r="K24" s="25">
        <f>L24/J24</f>
        <v>8.584686774941995E-2</v>
      </c>
      <c r="L24" s="15">
        <f>SUM(L25:L32)</f>
        <v>1850000</v>
      </c>
      <c r="M24" s="21">
        <f>(G6+G15+G24)/J24</f>
        <v>0</v>
      </c>
      <c r="N24" s="22">
        <f>M24/K24/3*12</f>
        <v>0</v>
      </c>
    </row>
    <row r="25" spans="1:14" s="1" customFormat="1" x14ac:dyDescent="0.25">
      <c r="A25" s="14"/>
      <c r="B25" s="17" t="str">
        <f t="shared" si="4"/>
        <v>V</v>
      </c>
      <c r="C25" s="17">
        <f>E25/$D$24</f>
        <v>540000</v>
      </c>
      <c r="D25" s="21"/>
      <c r="E25" s="13">
        <f>'Исходные данные'!$C$55*'Исходные данные'!$H$4</f>
        <v>210000</v>
      </c>
      <c r="F25" s="18"/>
      <c r="G25" s="31"/>
      <c r="H25" s="33"/>
      <c r="I25" s="33"/>
      <c r="J25" s="13">
        <f>C7+C16+C25</f>
        <v>6465000</v>
      </c>
      <c r="K25" s="21"/>
      <c r="L25" s="13">
        <f>E7+E16+E25</f>
        <v>555000</v>
      </c>
      <c r="M25" s="21"/>
      <c r="N25" s="22"/>
    </row>
    <row r="26" spans="1:14" s="1" customFormat="1" x14ac:dyDescent="0.25">
      <c r="A26" s="14"/>
      <c r="B26" s="6" t="str">
        <f t="shared" si="4"/>
        <v>G*</v>
      </c>
      <c r="C26" s="17">
        <f t="shared" ref="C26:C32" si="9">E26/$D$24</f>
        <v>450000</v>
      </c>
      <c r="D26" s="21"/>
      <c r="E26" s="13">
        <f>'Исходные данные'!$C$55*'Исходные данные'!$H$5</f>
        <v>175000</v>
      </c>
      <c r="F26" s="18"/>
      <c r="G26" s="31"/>
      <c r="H26" s="33"/>
      <c r="I26" s="33"/>
      <c r="J26" s="13">
        <f t="shared" ref="J26:J32" si="10">C8+C17+C26</f>
        <v>5387500</v>
      </c>
      <c r="K26" s="21"/>
      <c r="L26" s="13">
        <f t="shared" ref="L26:L32" si="11">E8+E17+E26</f>
        <v>462500</v>
      </c>
      <c r="M26" s="21"/>
      <c r="N26" s="22"/>
    </row>
    <row r="27" spans="1:14" s="1" customFormat="1" x14ac:dyDescent="0.25">
      <c r="A27" s="14"/>
      <c r="B27" s="6" t="str">
        <f t="shared" si="4"/>
        <v>M*</v>
      </c>
      <c r="C27" s="17">
        <f t="shared" si="9"/>
        <v>270000</v>
      </c>
      <c r="D27" s="21"/>
      <c r="E27" s="13">
        <f>'Исходные данные'!$C$55*'Исходные данные'!$H$6</f>
        <v>105000</v>
      </c>
      <c r="F27" s="18"/>
      <c r="G27" s="31"/>
      <c r="H27" s="33"/>
      <c r="I27" s="33"/>
      <c r="J27" s="13">
        <f t="shared" si="10"/>
        <v>3232500</v>
      </c>
      <c r="K27" s="21"/>
      <c r="L27" s="13">
        <f t="shared" si="11"/>
        <v>277500</v>
      </c>
      <c r="M27" s="21"/>
      <c r="N27" s="22"/>
    </row>
    <row r="28" spans="1:14" s="1" customFormat="1" x14ac:dyDescent="0.25">
      <c r="A28" s="14"/>
      <c r="B28" s="17" t="str">
        <f t="shared" si="4"/>
        <v>F</v>
      </c>
      <c r="C28" s="17">
        <f t="shared" si="9"/>
        <v>90000</v>
      </c>
      <c r="D28" s="21"/>
      <c r="E28" s="13">
        <f>'Исходные данные'!$C$55*'Исходные данные'!$H$7</f>
        <v>35000</v>
      </c>
      <c r="F28" s="18"/>
      <c r="G28" s="31"/>
      <c r="H28" s="33"/>
      <c r="I28" s="33"/>
      <c r="J28" s="13">
        <f t="shared" si="10"/>
        <v>1077500</v>
      </c>
      <c r="K28" s="21"/>
      <c r="L28" s="13">
        <f t="shared" si="11"/>
        <v>92500</v>
      </c>
      <c r="M28" s="21"/>
      <c r="N28" s="22"/>
    </row>
    <row r="29" spans="1:14" s="1" customFormat="1" x14ac:dyDescent="0.25">
      <c r="A29" s="14"/>
      <c r="B29" s="6" t="str">
        <f t="shared" si="4"/>
        <v>С*</v>
      </c>
      <c r="C29" s="17">
        <f t="shared" si="9"/>
        <v>90000</v>
      </c>
      <c r="D29" s="21"/>
      <c r="E29" s="13">
        <f>'Исходные данные'!$C$55*'Исходные данные'!$H$8</f>
        <v>35000</v>
      </c>
      <c r="F29" s="18"/>
      <c r="G29" s="31"/>
      <c r="H29" s="33"/>
      <c r="I29" s="33"/>
      <c r="J29" s="13">
        <f t="shared" si="10"/>
        <v>1077500</v>
      </c>
      <c r="K29" s="21"/>
      <c r="L29" s="13">
        <f t="shared" si="11"/>
        <v>92500</v>
      </c>
      <c r="M29" s="21"/>
      <c r="N29" s="22"/>
    </row>
    <row r="30" spans="1:14" s="1" customFormat="1" x14ac:dyDescent="0.25">
      <c r="A30" s="14"/>
      <c r="B30" s="17" t="str">
        <f t="shared" si="4"/>
        <v xml:space="preserve">I </v>
      </c>
      <c r="C30" s="17">
        <f t="shared" si="9"/>
        <v>90000</v>
      </c>
      <c r="D30" s="21"/>
      <c r="E30" s="13">
        <f>'Исходные данные'!$C$55*'Исходные данные'!$H$9</f>
        <v>35000</v>
      </c>
      <c r="F30" s="18"/>
      <c r="G30" s="31"/>
      <c r="H30" s="33"/>
      <c r="I30" s="33"/>
      <c r="J30" s="13">
        <f t="shared" si="10"/>
        <v>1077500</v>
      </c>
      <c r="K30" s="21"/>
      <c r="L30" s="13">
        <f t="shared" si="11"/>
        <v>92500</v>
      </c>
      <c r="M30" s="21"/>
      <c r="N30" s="22"/>
    </row>
    <row r="31" spans="1:14" s="1" customFormat="1" x14ac:dyDescent="0.25">
      <c r="A31" s="14"/>
      <c r="B31" s="6" t="str">
        <f t="shared" si="4"/>
        <v>R*</v>
      </c>
      <c r="C31" s="17">
        <f t="shared" si="9"/>
        <v>180000</v>
      </c>
      <c r="D31" s="21"/>
      <c r="E31" s="13">
        <f>'Исходные данные'!$C$55*'Исходные данные'!$H$10</f>
        <v>70000</v>
      </c>
      <c r="F31" s="18"/>
      <c r="G31" s="31"/>
      <c r="H31" s="33"/>
      <c r="I31" s="33"/>
      <c r="J31" s="13">
        <f t="shared" si="10"/>
        <v>2155000</v>
      </c>
      <c r="K31" s="21"/>
      <c r="L31" s="13">
        <f>E13+E22+E31</f>
        <v>185000</v>
      </c>
      <c r="M31" s="21"/>
      <c r="N31" s="22"/>
    </row>
    <row r="32" spans="1:14" s="1" customFormat="1" x14ac:dyDescent="0.25">
      <c r="A32" s="14"/>
      <c r="B32" s="6" t="str">
        <f t="shared" si="4"/>
        <v>А*</v>
      </c>
      <c r="C32" s="13">
        <f t="shared" si="9"/>
        <v>90000</v>
      </c>
      <c r="D32" s="21"/>
      <c r="E32" s="13">
        <f>'Исходные данные'!$C$55*'Исходные данные'!$H$11</f>
        <v>35000</v>
      </c>
      <c r="F32" s="18"/>
      <c r="G32" s="31"/>
      <c r="H32" s="33"/>
      <c r="I32" s="33"/>
      <c r="J32" s="13">
        <f t="shared" si="10"/>
        <v>1077500</v>
      </c>
      <c r="K32" s="21"/>
      <c r="L32" s="13">
        <f t="shared" si="11"/>
        <v>92500</v>
      </c>
      <c r="M32" s="21"/>
      <c r="N32" s="22"/>
    </row>
    <row r="33" spans="1:14" s="1" customFormat="1" x14ac:dyDescent="0.25">
      <c r="A33" s="19" t="s">
        <v>23</v>
      </c>
      <c r="B33" s="4" t="str">
        <f t="shared" si="4"/>
        <v>ВСЕГО:</v>
      </c>
      <c r="C33" s="15">
        <f>SUM(C34:C41)</f>
        <v>1262500</v>
      </c>
      <c r="D33" s="25">
        <f>'Исходные данные'!E56</f>
        <v>0.63366336633663367</v>
      </c>
      <c r="E33" s="15">
        <f>SUM(E34:E41)</f>
        <v>800000</v>
      </c>
      <c r="F33" s="15">
        <f>SUM(F34:F41)</f>
        <v>767236.84210526315</v>
      </c>
      <c r="G33" s="23">
        <f>SUM(F34:F41)</f>
        <v>767236.84210526315</v>
      </c>
      <c r="H33" s="25">
        <f>G33/(C6+C15+C24)</f>
        <v>3.5602637684698984E-2</v>
      </c>
      <c r="I33" s="22">
        <f>H33/D33/3*12</f>
        <v>0.22474165038466234</v>
      </c>
      <c r="J33" s="15">
        <f>SUM(J34:J41)</f>
        <v>22812500</v>
      </c>
      <c r="K33" s="25">
        <f>L33/J33</f>
        <v>0.11616438356164384</v>
      </c>
      <c r="L33" s="15">
        <f>SUM(L34:L41)</f>
        <v>2650000</v>
      </c>
      <c r="M33" s="21">
        <f>(G6+G15+G24+G33)/J33</f>
        <v>3.3632299927901947E-2</v>
      </c>
      <c r="N33" s="22">
        <f>M33/K33/3*12</f>
        <v>1.1580933465739822</v>
      </c>
    </row>
    <row r="34" spans="1:14" s="1" customFormat="1" x14ac:dyDescent="0.25">
      <c r="A34" s="14"/>
      <c r="B34" s="17" t="str">
        <f t="shared" si="4"/>
        <v>V</v>
      </c>
      <c r="C34" s="13">
        <f>E34/$D$33</f>
        <v>378750</v>
      </c>
      <c r="D34" s="21"/>
      <c r="E34" s="13">
        <f>'Исходные данные'!$C$56*'Исходные данные'!$H$4</f>
        <v>240000</v>
      </c>
      <c r="F34" s="17">
        <f>(C7*D15+C16*D15+C25*D24)*'Исходные данные'!E4/12*3</f>
        <v>541578.94736842101</v>
      </c>
      <c r="G34" s="24"/>
      <c r="H34" s="25"/>
      <c r="I34" s="22"/>
      <c r="J34" s="13">
        <f>C7+C16+C25+C34</f>
        <v>6843750</v>
      </c>
      <c r="K34" s="21"/>
      <c r="L34" s="13">
        <f>E7+E16+E25+E34</f>
        <v>795000</v>
      </c>
      <c r="M34" s="21"/>
      <c r="N34" s="22"/>
    </row>
    <row r="35" spans="1:14" s="1" customFormat="1" x14ac:dyDescent="0.25">
      <c r="A35" s="14"/>
      <c r="B35" s="6" t="str">
        <f t="shared" si="4"/>
        <v>G*</v>
      </c>
      <c r="C35" s="13">
        <f t="shared" ref="C35:C41" si="12">E35/$D$33</f>
        <v>315625</v>
      </c>
      <c r="D35" s="21"/>
      <c r="E35" s="13">
        <f>'Исходные данные'!$C$56*'Исходные данные'!$H$5</f>
        <v>200000</v>
      </c>
      <c r="F35" s="17">
        <f>(C8*D15+C17*D15+C26*D24)*'Исходные данные'!$E$5/12*3</f>
        <v>225657.89473684208</v>
      </c>
      <c r="G35" s="24"/>
      <c r="H35" s="25"/>
      <c r="I35" s="22"/>
      <c r="J35" s="13">
        <f t="shared" ref="J35:J41" si="13">C8+C17+C26+C35</f>
        <v>5703125</v>
      </c>
      <c r="K35" s="21"/>
      <c r="L35" s="13">
        <f t="shared" ref="L35:L41" si="14">E8+E17+E26+E35</f>
        <v>662500</v>
      </c>
      <c r="M35" s="21"/>
      <c r="N35" s="22"/>
    </row>
    <row r="36" spans="1:14" s="1" customFormat="1" x14ac:dyDescent="0.25">
      <c r="A36" s="14"/>
      <c r="B36" s="6" t="str">
        <f t="shared" si="4"/>
        <v>M*</v>
      </c>
      <c r="C36" s="13">
        <f t="shared" si="12"/>
        <v>189375</v>
      </c>
      <c r="D36" s="21"/>
      <c r="E36" s="13">
        <f>'Исходные данные'!$C$56*'Исходные данные'!$H$6</f>
        <v>120000</v>
      </c>
      <c r="F36" s="17"/>
      <c r="G36" s="24"/>
      <c r="H36" s="25"/>
      <c r="I36" s="22"/>
      <c r="J36" s="13">
        <f t="shared" si="13"/>
        <v>3421875</v>
      </c>
      <c r="K36" s="21"/>
      <c r="L36" s="13">
        <f t="shared" si="14"/>
        <v>397500</v>
      </c>
      <c r="M36" s="21"/>
      <c r="N36" s="22"/>
    </row>
    <row r="37" spans="1:14" s="1" customFormat="1" x14ac:dyDescent="0.25">
      <c r="A37" s="14"/>
      <c r="B37" s="17" t="str">
        <f t="shared" si="4"/>
        <v>F</v>
      </c>
      <c r="C37" s="13">
        <f>E37/$D$33</f>
        <v>63125</v>
      </c>
      <c r="D37" s="21"/>
      <c r="E37" s="13">
        <f>'Исходные данные'!$C$56*'Исходные данные'!$H$7</f>
        <v>40000</v>
      </c>
      <c r="F37" s="17"/>
      <c r="G37" s="24"/>
      <c r="H37" s="25"/>
      <c r="I37" s="22"/>
      <c r="J37" s="13">
        <f t="shared" si="13"/>
        <v>1140625</v>
      </c>
      <c r="K37" s="21"/>
      <c r="L37" s="13">
        <f t="shared" si="14"/>
        <v>132500</v>
      </c>
      <c r="M37" s="21"/>
      <c r="N37" s="22"/>
    </row>
    <row r="38" spans="1:14" s="1" customFormat="1" x14ac:dyDescent="0.25">
      <c r="A38" s="14"/>
      <c r="B38" s="6" t="str">
        <f t="shared" si="4"/>
        <v>С*</v>
      </c>
      <c r="C38" s="13">
        <f t="shared" si="12"/>
        <v>63125</v>
      </c>
      <c r="D38" s="21"/>
      <c r="E38" s="13">
        <f>'Исходные данные'!$C$56*'Исходные данные'!$H$8</f>
        <v>40000</v>
      </c>
      <c r="F38" s="17"/>
      <c r="G38" s="24"/>
      <c r="H38" s="25"/>
      <c r="I38" s="22"/>
      <c r="J38" s="13">
        <f t="shared" si="13"/>
        <v>1140625</v>
      </c>
      <c r="K38" s="21"/>
      <c r="L38" s="13">
        <f t="shared" si="14"/>
        <v>132500</v>
      </c>
      <c r="M38" s="21"/>
      <c r="N38" s="22"/>
    </row>
    <row r="39" spans="1:14" s="1" customFormat="1" x14ac:dyDescent="0.25">
      <c r="A39" s="14"/>
      <c r="B39" s="17" t="str">
        <f t="shared" si="4"/>
        <v xml:space="preserve">I </v>
      </c>
      <c r="C39" s="13">
        <f t="shared" si="12"/>
        <v>63125</v>
      </c>
      <c r="D39" s="21"/>
      <c r="E39" s="13">
        <f>'Исходные данные'!$C$56*'Исходные данные'!$H$9</f>
        <v>40000</v>
      </c>
      <c r="F39" s="17"/>
      <c r="G39" s="24"/>
      <c r="H39" s="25"/>
      <c r="I39" s="22"/>
      <c r="J39" s="13">
        <f t="shared" si="13"/>
        <v>1140625</v>
      </c>
      <c r="K39" s="21"/>
      <c r="L39" s="13">
        <f t="shared" si="14"/>
        <v>132500</v>
      </c>
      <c r="M39" s="21"/>
      <c r="N39" s="22"/>
    </row>
    <row r="40" spans="1:14" s="1" customFormat="1" x14ac:dyDescent="0.25">
      <c r="A40" s="14"/>
      <c r="B40" s="6" t="str">
        <f t="shared" si="4"/>
        <v>R*</v>
      </c>
      <c r="C40" s="13">
        <f t="shared" si="12"/>
        <v>126250</v>
      </c>
      <c r="D40" s="21"/>
      <c r="E40" s="13">
        <f>'Исходные данные'!$C$56*'Исходные данные'!$H$10</f>
        <v>80000</v>
      </c>
      <c r="F40" s="17"/>
      <c r="G40" s="24"/>
      <c r="H40" s="25"/>
      <c r="I40" s="22"/>
      <c r="J40" s="13">
        <f t="shared" si="13"/>
        <v>2281250</v>
      </c>
      <c r="K40" s="21"/>
      <c r="L40" s="13">
        <f t="shared" si="14"/>
        <v>265000</v>
      </c>
      <c r="M40" s="21"/>
      <c r="N40" s="22"/>
    </row>
    <row r="41" spans="1:14" s="1" customFormat="1" x14ac:dyDescent="0.25">
      <c r="A41" s="14"/>
      <c r="B41" s="6" t="str">
        <f t="shared" si="4"/>
        <v>А*</v>
      </c>
      <c r="C41" s="13">
        <f t="shared" si="12"/>
        <v>63125</v>
      </c>
      <c r="D41" s="21"/>
      <c r="E41" s="13">
        <f>'Исходные данные'!$C$56*'Исходные данные'!$H$11</f>
        <v>40000</v>
      </c>
      <c r="F41" s="17"/>
      <c r="G41" s="24"/>
      <c r="H41" s="25"/>
      <c r="I41" s="22"/>
      <c r="J41" s="13">
        <f t="shared" si="13"/>
        <v>1140625</v>
      </c>
      <c r="K41" s="21"/>
      <c r="L41" s="13">
        <f t="shared" si="14"/>
        <v>132500</v>
      </c>
      <c r="M41" s="21"/>
      <c r="N41" s="22"/>
    </row>
    <row r="42" spans="1:14" s="1" customFormat="1" x14ac:dyDescent="0.25">
      <c r="A42" s="19" t="s">
        <v>24</v>
      </c>
      <c r="B42" s="4" t="str">
        <f t="shared" si="4"/>
        <v>ВСЕГО:</v>
      </c>
      <c r="C42" s="15">
        <f>SUM(C43:C50)</f>
        <v>918055.55555555527</v>
      </c>
      <c r="D42" s="25">
        <f>'Исходные данные'!E57</f>
        <v>0.92586989409984877</v>
      </c>
      <c r="E42" s="15">
        <f>SUM(E43:E50)</f>
        <v>850000</v>
      </c>
      <c r="F42" s="15">
        <f>SUM(F43:F50)</f>
        <v>225657.89473684208</v>
      </c>
      <c r="G42" s="23">
        <f>SUM(F43:F50)</f>
        <v>225657.89473684208</v>
      </c>
      <c r="H42" s="25">
        <f>G42/(C6+C15+C24)</f>
        <v>1.0471364024911466E-2</v>
      </c>
      <c r="I42" s="22">
        <f>H42/D42/3*12</f>
        <v>4.5239030199127311E-2</v>
      </c>
      <c r="J42" s="15">
        <f>SUM(J43:J50)</f>
        <v>23730555.555555552</v>
      </c>
      <c r="K42" s="25">
        <f>L42/J42</f>
        <v>0.14748917242186588</v>
      </c>
      <c r="L42" s="15">
        <f>SUM(L43:L50)</f>
        <v>3500000</v>
      </c>
      <c r="M42" s="21">
        <f>(G6+G15+G24+G33+G42)/J42</f>
        <v>4.1840349439676683E-2</v>
      </c>
      <c r="N42" s="22">
        <f>M42/K42/3*12</f>
        <v>1.134736842105263</v>
      </c>
    </row>
    <row r="43" spans="1:14" s="1" customFormat="1" x14ac:dyDescent="0.25">
      <c r="A43" s="14"/>
      <c r="B43" s="17" t="str">
        <f t="shared" si="4"/>
        <v>V</v>
      </c>
      <c r="C43" s="13">
        <f t="shared" ref="C43:C50" si="15">E43/$D$42</f>
        <v>275416.66666666663</v>
      </c>
      <c r="D43" s="21"/>
      <c r="E43" s="13">
        <f>'Исходные данные'!$C$57*'Исходные данные'!$H$4</f>
        <v>255000</v>
      </c>
      <c r="F43" s="17"/>
      <c r="G43" s="24"/>
      <c r="H43" s="25"/>
      <c r="I43" s="22"/>
      <c r="J43" s="13">
        <f>C7+C16+C25+C34+C43</f>
        <v>7119166.666666667</v>
      </c>
      <c r="K43" s="21"/>
      <c r="L43" s="13">
        <f>E7+E16+E25+E34+E43</f>
        <v>1050000</v>
      </c>
      <c r="M43" s="21"/>
      <c r="N43" s="22"/>
    </row>
    <row r="44" spans="1:14" s="1" customFormat="1" x14ac:dyDescent="0.25">
      <c r="A44" s="14"/>
      <c r="B44" s="6" t="str">
        <f t="shared" si="4"/>
        <v>G*</v>
      </c>
      <c r="C44" s="13">
        <f t="shared" si="15"/>
        <v>229513.88888888888</v>
      </c>
      <c r="D44" s="21"/>
      <c r="E44" s="13">
        <f>'Исходные данные'!$C$57*'Исходные данные'!$H$5</f>
        <v>212500</v>
      </c>
      <c r="F44" s="17">
        <f>(C8*D15+C17*D15+C26*D24)*'Исходные данные'!$E$5/12*3</f>
        <v>225657.89473684208</v>
      </c>
      <c r="G44" s="24"/>
      <c r="H44" s="25"/>
      <c r="I44" s="22"/>
      <c r="J44" s="13">
        <f t="shared" ref="J44:J49" si="16">C8+C17+C26+C35+C44</f>
        <v>5932638.888888889</v>
      </c>
      <c r="K44" s="21"/>
      <c r="L44" s="13">
        <f t="shared" ref="L44:L50" si="17">E8+E17+E26+E35+E44</f>
        <v>875000</v>
      </c>
      <c r="M44" s="21"/>
      <c r="N44" s="22"/>
    </row>
    <row r="45" spans="1:14" s="1" customFormat="1" x14ac:dyDescent="0.25">
      <c r="A45" s="14"/>
      <c r="B45" s="6" t="str">
        <f t="shared" si="4"/>
        <v>M*</v>
      </c>
      <c r="C45" s="13">
        <f t="shared" si="15"/>
        <v>137708.33333333331</v>
      </c>
      <c r="D45" s="21"/>
      <c r="E45" s="13">
        <f>'Исходные данные'!$C$57*'Исходные данные'!$H$6</f>
        <v>127500</v>
      </c>
      <c r="F45" s="17"/>
      <c r="G45" s="24"/>
      <c r="H45" s="25"/>
      <c r="I45" s="22"/>
      <c r="J45" s="13">
        <f t="shared" si="16"/>
        <v>3559583.3333333335</v>
      </c>
      <c r="K45" s="21"/>
      <c r="L45" s="13">
        <f t="shared" si="17"/>
        <v>525000</v>
      </c>
      <c r="M45" s="21"/>
      <c r="N45" s="22"/>
    </row>
    <row r="46" spans="1:14" s="1" customFormat="1" x14ac:dyDescent="0.25">
      <c r="A46" s="14"/>
      <c r="B46" s="17" t="str">
        <f t="shared" si="4"/>
        <v>F</v>
      </c>
      <c r="C46" s="13">
        <f t="shared" si="15"/>
        <v>45902.777777777774</v>
      </c>
      <c r="D46" s="21"/>
      <c r="E46" s="13">
        <f>'Исходные данные'!$C$57*'Исходные данные'!$H$7</f>
        <v>42500</v>
      </c>
      <c r="F46" s="17"/>
      <c r="G46" s="24"/>
      <c r="H46" s="25"/>
      <c r="I46" s="22"/>
      <c r="J46" s="13">
        <f t="shared" si="16"/>
        <v>1186527.7777777778</v>
      </c>
      <c r="K46" s="21"/>
      <c r="L46" s="13">
        <f t="shared" si="17"/>
        <v>175000</v>
      </c>
      <c r="M46" s="21"/>
      <c r="N46" s="22"/>
    </row>
    <row r="47" spans="1:14" s="1" customFormat="1" x14ac:dyDescent="0.25">
      <c r="A47" s="14"/>
      <c r="B47" s="6" t="str">
        <f t="shared" ref="B47:B78" si="18">B38</f>
        <v>С*</v>
      </c>
      <c r="C47" s="13">
        <f t="shared" si="15"/>
        <v>45902.777777777774</v>
      </c>
      <c r="D47" s="21"/>
      <c r="E47" s="13">
        <f>'Исходные данные'!$C$57*'Исходные данные'!$H$8</f>
        <v>42500</v>
      </c>
      <c r="F47" s="17"/>
      <c r="G47" s="24"/>
      <c r="H47" s="25"/>
      <c r="I47" s="22"/>
      <c r="J47" s="13">
        <f t="shared" si="16"/>
        <v>1186527.7777777778</v>
      </c>
      <c r="K47" s="21"/>
      <c r="L47" s="13">
        <f t="shared" si="17"/>
        <v>175000</v>
      </c>
      <c r="M47" s="21"/>
      <c r="N47" s="22"/>
    </row>
    <row r="48" spans="1:14" s="1" customFormat="1" x14ac:dyDescent="0.25">
      <c r="A48" s="14"/>
      <c r="B48" s="17" t="str">
        <f t="shared" si="18"/>
        <v xml:space="preserve">I </v>
      </c>
      <c r="C48" s="13">
        <f t="shared" si="15"/>
        <v>45902.777777777774</v>
      </c>
      <c r="D48" s="21"/>
      <c r="E48" s="13">
        <f>'Исходные данные'!$C$57*'Исходные данные'!$H$9</f>
        <v>42500</v>
      </c>
      <c r="F48" s="17"/>
      <c r="G48" s="24"/>
      <c r="H48" s="25"/>
      <c r="I48" s="22"/>
      <c r="J48" s="13">
        <f t="shared" si="16"/>
        <v>1186527.7777777778</v>
      </c>
      <c r="K48" s="21"/>
      <c r="L48" s="13">
        <f t="shared" si="17"/>
        <v>175000</v>
      </c>
      <c r="M48" s="21"/>
      <c r="N48" s="22"/>
    </row>
    <row r="49" spans="1:14" s="1" customFormat="1" x14ac:dyDescent="0.25">
      <c r="A49" s="14"/>
      <c r="B49" s="6" t="str">
        <f t="shared" si="18"/>
        <v>R*</v>
      </c>
      <c r="C49" s="13">
        <f t="shared" si="15"/>
        <v>91805.555555555547</v>
      </c>
      <c r="D49" s="21"/>
      <c r="E49" s="13">
        <f>'Исходные данные'!$C$57*'Исходные данные'!$H$10</f>
        <v>85000</v>
      </c>
      <c r="F49" s="17"/>
      <c r="G49" s="24"/>
      <c r="H49" s="25"/>
      <c r="I49" s="22"/>
      <c r="J49" s="13">
        <f t="shared" si="16"/>
        <v>2373055.5555555555</v>
      </c>
      <c r="K49" s="21"/>
      <c r="L49" s="13">
        <f t="shared" si="17"/>
        <v>350000</v>
      </c>
      <c r="M49" s="21"/>
      <c r="N49" s="22"/>
    </row>
    <row r="50" spans="1:14" s="1" customFormat="1" x14ac:dyDescent="0.25">
      <c r="A50" s="14"/>
      <c r="B50" s="6" t="str">
        <f t="shared" si="18"/>
        <v>А*</v>
      </c>
      <c r="C50" s="13">
        <f t="shared" si="15"/>
        <v>45902.777777777774</v>
      </c>
      <c r="D50" s="21"/>
      <c r="E50" s="13">
        <f>'Исходные данные'!$C$57*'Исходные данные'!$H$11</f>
        <v>42500</v>
      </c>
      <c r="F50" s="17"/>
      <c r="G50" s="24"/>
      <c r="H50" s="25"/>
      <c r="I50" s="22"/>
      <c r="J50" s="13">
        <f>C14+C23+C32+C41+C50</f>
        <v>1186527.7777777778</v>
      </c>
      <c r="K50" s="21"/>
      <c r="L50" s="13">
        <f t="shared" si="17"/>
        <v>175000</v>
      </c>
      <c r="M50" s="21"/>
      <c r="N50" s="22"/>
    </row>
    <row r="51" spans="1:14" s="1" customFormat="1" x14ac:dyDescent="0.25">
      <c r="A51" s="19" t="s">
        <v>25</v>
      </c>
      <c r="B51" s="4" t="str">
        <f t="shared" si="18"/>
        <v>ВСЕГО:</v>
      </c>
      <c r="C51" s="15">
        <f>SUM(C52:C59)</f>
        <v>904545.45454545447</v>
      </c>
      <c r="D51" s="25">
        <f>'Исходные данные'!E58</f>
        <v>1.1055276381909547</v>
      </c>
      <c r="E51" s="15">
        <f>SUM(E52:E59)</f>
        <v>1000000</v>
      </c>
      <c r="F51" s="15">
        <f>SUM(F52:F59)</f>
        <v>588618.42105263157</v>
      </c>
      <c r="G51" s="23">
        <f>SUM(F52:F59)</f>
        <v>588618.42105263157</v>
      </c>
      <c r="H51" s="25">
        <f>G51/(C6+C15+C24+C33)</f>
        <v>2.5802451333813987E-2</v>
      </c>
      <c r="I51" s="22">
        <f>H51/D51/3*12</f>
        <v>9.335796028052698E-2</v>
      </c>
      <c r="J51" s="15">
        <f>SUM(J52:J59)</f>
        <v>24635101.010101005</v>
      </c>
      <c r="K51" s="25">
        <f>L51/J51</f>
        <v>0.18266618830403367</v>
      </c>
      <c r="L51" s="15">
        <f>SUM(L52:L59)</f>
        <v>4500000</v>
      </c>
      <c r="M51" s="21">
        <f>(G6+G15+G24+G33+G42+G51)/J51</f>
        <v>6.4197551178957077E-2</v>
      </c>
      <c r="N51" s="22">
        <f t="shared" ref="N51" si="19">M51/K51/3*12</f>
        <v>1.40578947368421</v>
      </c>
    </row>
    <row r="52" spans="1:14" s="1" customFormat="1" x14ac:dyDescent="0.25">
      <c r="A52" s="14"/>
      <c r="B52" s="17" t="str">
        <f t="shared" si="18"/>
        <v>V</v>
      </c>
      <c r="C52" s="13">
        <f t="shared" ref="C52:C59" si="20">E52/$D$51</f>
        <v>271363.63636363641</v>
      </c>
      <c r="D52" s="21"/>
      <c r="E52" s="13">
        <f>'Исходные данные'!$C$58*'Исходные данные'!$H$4</f>
        <v>300000</v>
      </c>
      <c r="F52" s="17">
        <f>(C34*D33)*'Исходные данные'!$E$4/12*3</f>
        <v>120000</v>
      </c>
      <c r="G52" s="24"/>
      <c r="H52" s="25"/>
      <c r="I52" s="22"/>
      <c r="J52" s="13">
        <f>C7+C16+C25+C34+C43+C52</f>
        <v>7390530.3030303037</v>
      </c>
      <c r="K52" s="21"/>
      <c r="L52" s="13">
        <f>E7+E16+E25+E34+E43+E52</f>
        <v>1350000</v>
      </c>
      <c r="M52" s="21"/>
      <c r="N52" s="22"/>
    </row>
    <row r="53" spans="1:14" s="1" customFormat="1" x14ac:dyDescent="0.25">
      <c r="A53" s="14"/>
      <c r="B53" s="6" t="str">
        <f t="shared" si="18"/>
        <v>G*</v>
      </c>
      <c r="C53" s="13">
        <f t="shared" si="20"/>
        <v>226136.36363636365</v>
      </c>
      <c r="D53" s="21"/>
      <c r="E53" s="13">
        <f>'Исходные данные'!$C$58*'Исходные данные'!$H$5</f>
        <v>250000</v>
      </c>
      <c r="F53" s="17">
        <f>(C8*D15+C17*D15+C26*D24+C35*D33)*'Исходные данные'!$E$5/12*3</f>
        <v>275657.89473684214</v>
      </c>
      <c r="G53" s="24"/>
      <c r="H53" s="25"/>
      <c r="I53" s="22"/>
      <c r="J53" s="13">
        <f t="shared" ref="J53:J59" si="21">C8+C17+C26+C35+C44+C53</f>
        <v>6158775.2525252523</v>
      </c>
      <c r="K53" s="21"/>
      <c r="L53" s="13">
        <f t="shared" ref="L53:L59" si="22">E8+E17+E26+E35+E44+E53</f>
        <v>1125000</v>
      </c>
      <c r="M53" s="21"/>
      <c r="N53" s="22"/>
    </row>
    <row r="54" spans="1:14" s="1" customFormat="1" x14ac:dyDescent="0.25">
      <c r="A54" s="14"/>
      <c r="B54" s="6" t="str">
        <f t="shared" si="18"/>
        <v>M*</v>
      </c>
      <c r="C54" s="13">
        <f t="shared" si="20"/>
        <v>135681.81818181821</v>
      </c>
      <c r="D54" s="21"/>
      <c r="E54" s="13">
        <f>'Исходные данные'!$C$58*'Исходные данные'!$H$6</f>
        <v>150000</v>
      </c>
      <c r="F54" s="17"/>
      <c r="G54" s="24"/>
      <c r="H54" s="25"/>
      <c r="I54" s="22"/>
      <c r="J54" s="13">
        <f t="shared" si="21"/>
        <v>3695265.1515151518</v>
      </c>
      <c r="K54" s="21"/>
      <c r="L54" s="13">
        <f t="shared" si="22"/>
        <v>675000</v>
      </c>
      <c r="M54" s="21"/>
      <c r="N54" s="22"/>
    </row>
    <row r="55" spans="1:14" s="1" customFormat="1" x14ac:dyDescent="0.25">
      <c r="A55" s="14"/>
      <c r="B55" s="17" t="str">
        <f t="shared" si="18"/>
        <v>F</v>
      </c>
      <c r="C55" s="13">
        <f t="shared" si="20"/>
        <v>45227.272727272728</v>
      </c>
      <c r="D55" s="21"/>
      <c r="E55" s="13">
        <f>'Исходные данные'!$C$58*'Исходные данные'!$H$7</f>
        <v>50000</v>
      </c>
      <c r="F55" s="17">
        <f>(C10*D15+C19*D15+C28*D24+C37*D33)*'Исходные данные'!$E$7/12*3</f>
        <v>110263.15789473685</v>
      </c>
      <c r="G55" s="24"/>
      <c r="H55" s="25"/>
      <c r="I55" s="22"/>
      <c r="J55" s="13">
        <f t="shared" si="21"/>
        <v>1231755.0505050505</v>
      </c>
      <c r="K55" s="21"/>
      <c r="L55" s="13">
        <f t="shared" si="22"/>
        <v>225000</v>
      </c>
      <c r="M55" s="21"/>
      <c r="N55" s="22"/>
    </row>
    <row r="56" spans="1:14" s="1" customFormat="1" x14ac:dyDescent="0.25">
      <c r="A56" s="14"/>
      <c r="B56" s="6" t="str">
        <f t="shared" si="18"/>
        <v>С*</v>
      </c>
      <c r="C56" s="13">
        <f t="shared" si="20"/>
        <v>45227.272727272728</v>
      </c>
      <c r="D56" s="21"/>
      <c r="E56" s="13">
        <f>'Исходные данные'!$C$58*'Исходные данные'!$H$8</f>
        <v>50000</v>
      </c>
      <c r="F56" s="17">
        <f>(C11*D15+C20*D15+C29*D24+C38*D33)*'Исходные данные'!$E$8/12*3</f>
        <v>27565.789473684214</v>
      </c>
      <c r="G56" s="24"/>
      <c r="H56" s="25"/>
      <c r="I56" s="22"/>
      <c r="J56" s="13">
        <f t="shared" si="21"/>
        <v>1231755.0505050505</v>
      </c>
      <c r="K56" s="21"/>
      <c r="L56" s="13">
        <f t="shared" si="22"/>
        <v>225000</v>
      </c>
      <c r="M56" s="21"/>
      <c r="N56" s="22"/>
    </row>
    <row r="57" spans="1:14" s="1" customFormat="1" x14ac:dyDescent="0.25">
      <c r="A57" s="14"/>
      <c r="B57" s="17" t="str">
        <f t="shared" si="18"/>
        <v xml:space="preserve">I </v>
      </c>
      <c r="C57" s="13">
        <f t="shared" si="20"/>
        <v>45227.272727272728</v>
      </c>
      <c r="D57" s="21"/>
      <c r="E57" s="13">
        <f>'Исходные данные'!$C$58*'Исходные данные'!$H$9</f>
        <v>50000</v>
      </c>
      <c r="F57" s="17">
        <f>(C12*D15+C21*D15+C30*D24+C39*D33)*'Исходные данные'!$E$9/12*3</f>
        <v>0</v>
      </c>
      <c r="G57" s="24"/>
      <c r="H57" s="25"/>
      <c r="I57" s="22"/>
      <c r="J57" s="13">
        <f t="shared" si="21"/>
        <v>1231755.0505050505</v>
      </c>
      <c r="K57" s="21"/>
      <c r="L57" s="13">
        <f t="shared" si="22"/>
        <v>225000</v>
      </c>
      <c r="M57" s="21"/>
      <c r="N57" s="22"/>
    </row>
    <row r="58" spans="1:14" s="1" customFormat="1" x14ac:dyDescent="0.25">
      <c r="A58" s="14"/>
      <c r="B58" s="6" t="str">
        <f t="shared" si="18"/>
        <v>R*</v>
      </c>
      <c r="C58" s="13">
        <f t="shared" si="20"/>
        <v>90454.545454545456</v>
      </c>
      <c r="D58" s="21"/>
      <c r="E58" s="13">
        <f>'Исходные данные'!$C$58*'Исходные данные'!$H$10</f>
        <v>100000</v>
      </c>
      <c r="F58" s="17">
        <f>(C13*D15+C22*D15+C31*D24+C40*D33)*'Исходные данные'!$E$10/12*3</f>
        <v>55131.578947368427</v>
      </c>
      <c r="G58" s="24"/>
      <c r="H58" s="25"/>
      <c r="I58" s="22"/>
      <c r="J58" s="13">
        <f t="shared" si="21"/>
        <v>2463510.1010101009</v>
      </c>
      <c r="K58" s="21"/>
      <c r="L58" s="13">
        <f t="shared" si="22"/>
        <v>450000</v>
      </c>
      <c r="M58" s="21"/>
      <c r="N58" s="22"/>
    </row>
    <row r="59" spans="1:14" s="1" customFormat="1" x14ac:dyDescent="0.25">
      <c r="A59" s="14"/>
      <c r="B59" s="6" t="str">
        <f t="shared" si="18"/>
        <v>А*</v>
      </c>
      <c r="C59" s="13">
        <f t="shared" si="20"/>
        <v>45227.272727272728</v>
      </c>
      <c r="D59" s="21"/>
      <c r="E59" s="13">
        <f>'Исходные данные'!$C$58*'Исходные данные'!$H$11</f>
        <v>50000</v>
      </c>
      <c r="F59" s="17"/>
      <c r="G59" s="24"/>
      <c r="H59" s="25"/>
      <c r="I59" s="22"/>
      <c r="J59" s="13">
        <f t="shared" si="21"/>
        <v>1231755.0505050505</v>
      </c>
      <c r="K59" s="21"/>
      <c r="L59" s="13">
        <f t="shared" si="22"/>
        <v>225000</v>
      </c>
      <c r="M59" s="21"/>
      <c r="N59" s="22"/>
    </row>
    <row r="60" spans="1:14" s="1" customFormat="1" x14ac:dyDescent="0.25">
      <c r="A60" s="19" t="s">
        <v>26</v>
      </c>
      <c r="B60" s="4" t="str">
        <f t="shared" si="18"/>
        <v>ВСЕГО:</v>
      </c>
      <c r="C60" s="15">
        <f>SUM(C61:C68)</f>
        <v>765567.76556776545</v>
      </c>
      <c r="D60" s="25">
        <f>'Исходные данные'!E59</f>
        <v>1.3062200956937804</v>
      </c>
      <c r="E60" s="15">
        <f>SUM(E61:E68)</f>
        <v>1000000</v>
      </c>
      <c r="F60" s="15">
        <f>SUM(F61:F68)</f>
        <v>576167.76315789483</v>
      </c>
      <c r="G60" s="23">
        <f>SUM(F61:F68)</f>
        <v>576167.76315789483</v>
      </c>
      <c r="H60" s="25">
        <f>G60/(C6+C15+C24+C33+C42)</f>
        <v>2.4279573304090148E-2</v>
      </c>
      <c r="I60" s="22">
        <f>H60/D60/3*12</f>
        <v>7.4350634733404239E-2</v>
      </c>
      <c r="J60" s="15">
        <f>SUM(J61:J68)</f>
        <v>25400668.775668766</v>
      </c>
      <c r="K60" s="25">
        <f>L60/J60</f>
        <v>0.21652973189699776</v>
      </c>
      <c r="L60" s="15">
        <f>SUM(L61:L68)</f>
        <v>5500000</v>
      </c>
      <c r="M60" s="21">
        <f>(G6+G15+G24+G33+G42+G51+G60)/J60</f>
        <v>8.4945831155416998E-2</v>
      </c>
      <c r="N60" s="22">
        <f t="shared" ref="N60" si="23">M60/K60/3*12</f>
        <v>1.5692224880382777</v>
      </c>
    </row>
    <row r="61" spans="1:14" s="1" customFormat="1" x14ac:dyDescent="0.25">
      <c r="A61" s="14"/>
      <c r="B61" s="17" t="str">
        <f t="shared" si="18"/>
        <v>V</v>
      </c>
      <c r="C61" s="13">
        <f t="shared" ref="C61:C68" si="24">E61/$D$60</f>
        <v>229670.32967032958</v>
      </c>
      <c r="D61" s="21"/>
      <c r="E61" s="13">
        <f>'Исходные данные'!$C$59*'Исходные данные'!$H$4</f>
        <v>300000</v>
      </c>
      <c r="F61" s="17">
        <f>(C43*D42)*'Исходные данные'!$E$4/12*3</f>
        <v>127499.99999999997</v>
      </c>
      <c r="G61" s="24"/>
      <c r="H61" s="25"/>
      <c r="I61" s="22"/>
      <c r="J61" s="13">
        <f>C7+C16+C25+C34+C43+C52+C61</f>
        <v>7620200.6327006333</v>
      </c>
      <c r="K61" s="21"/>
      <c r="L61" s="13">
        <f>E7+E16+E25+E34+E43+E52+E61</f>
        <v>1650000</v>
      </c>
      <c r="M61" s="21"/>
      <c r="N61" s="22"/>
    </row>
    <row r="62" spans="1:14" s="1" customFormat="1" x14ac:dyDescent="0.25">
      <c r="A62" s="14"/>
      <c r="B62" s="6" t="str">
        <f t="shared" si="18"/>
        <v>G*</v>
      </c>
      <c r="C62" s="13">
        <f t="shared" si="24"/>
        <v>191391.94139194133</v>
      </c>
      <c r="D62" s="21"/>
      <c r="E62" s="13">
        <f>'Исходные данные'!$C$59*'Исходные данные'!$H$5</f>
        <v>250000</v>
      </c>
      <c r="F62" s="17">
        <f>(C8*D15+C17*D15+C26*D24+C35*D33+C44*D42)*'Исходные данные'!$E$5/12*3</f>
        <v>328782.89473684214</v>
      </c>
      <c r="G62" s="24"/>
      <c r="H62" s="25"/>
      <c r="I62" s="22"/>
      <c r="J62" s="13">
        <f t="shared" ref="J62:J68" si="25">C8+C17+C26+C35+C44+C53+C62</f>
        <v>6350167.1939171935</v>
      </c>
      <c r="K62" s="21"/>
      <c r="L62" s="13">
        <f t="shared" ref="L62:L68" si="26">E8+E17+E26+E35+E44+E53+E62</f>
        <v>1375000</v>
      </c>
      <c r="M62" s="21"/>
      <c r="N62" s="22"/>
    </row>
    <row r="63" spans="1:14" s="1" customFormat="1" x14ac:dyDescent="0.25">
      <c r="A63" s="14"/>
      <c r="B63" s="6" t="str">
        <f t="shared" si="18"/>
        <v>M*</v>
      </c>
      <c r="C63" s="13">
        <f t="shared" si="24"/>
        <v>114835.16483516479</v>
      </c>
      <c r="D63" s="21"/>
      <c r="E63" s="13">
        <f>'Исходные данные'!$C$59*'Исходные данные'!$H$6</f>
        <v>150000</v>
      </c>
      <c r="F63" s="17"/>
      <c r="G63" s="24"/>
      <c r="H63" s="25"/>
      <c r="I63" s="22"/>
      <c r="J63" s="13">
        <f t="shared" si="25"/>
        <v>3810100.3163503166</v>
      </c>
      <c r="K63" s="21"/>
      <c r="L63" s="13">
        <f t="shared" si="26"/>
        <v>825000</v>
      </c>
      <c r="M63" s="21"/>
      <c r="N63" s="22"/>
    </row>
    <row r="64" spans="1:14" s="1" customFormat="1" x14ac:dyDescent="0.25">
      <c r="A64" s="14"/>
      <c r="B64" s="17" t="str">
        <f t="shared" si="18"/>
        <v>F</v>
      </c>
      <c r="C64" s="13">
        <f t="shared" si="24"/>
        <v>38278.388278388265</v>
      </c>
      <c r="D64" s="21"/>
      <c r="E64" s="13">
        <f>'Исходные данные'!$C$59*'Исходные данные'!$H$7</f>
        <v>50000</v>
      </c>
      <c r="F64" s="17">
        <f>(C46*D42)*'Исходные данные'!$E$7/12*3</f>
        <v>21250</v>
      </c>
      <c r="G64" s="24"/>
      <c r="H64" s="25"/>
      <c r="I64" s="22"/>
      <c r="J64" s="13">
        <f t="shared" si="25"/>
        <v>1270033.4387834386</v>
      </c>
      <c r="K64" s="21"/>
      <c r="L64" s="13">
        <f t="shared" si="26"/>
        <v>275000</v>
      </c>
      <c r="M64" s="21"/>
      <c r="N64" s="22"/>
    </row>
    <row r="65" spans="1:14" s="1" customFormat="1" x14ac:dyDescent="0.25">
      <c r="A65" s="14"/>
      <c r="B65" s="6" t="str">
        <f t="shared" si="18"/>
        <v>С*</v>
      </c>
      <c r="C65" s="13">
        <f t="shared" si="24"/>
        <v>38278.388278388265</v>
      </c>
      <c r="D65" s="21"/>
      <c r="E65" s="13">
        <f>'Исходные данные'!$C$59*'Исходные данные'!$H$8</f>
        <v>50000</v>
      </c>
      <c r="F65" s="17">
        <f>(C11*D15+C20*D15+C29*D24+C38*D33+C47*D42)*'Исходные данные'!$E$8/12*3</f>
        <v>32878.289473684214</v>
      </c>
      <c r="G65" s="24"/>
      <c r="H65" s="25"/>
      <c r="I65" s="22"/>
      <c r="J65" s="13">
        <f t="shared" si="25"/>
        <v>1270033.4387834386</v>
      </c>
      <c r="K65" s="21"/>
      <c r="L65" s="13">
        <f t="shared" si="26"/>
        <v>275000</v>
      </c>
      <c r="M65" s="21"/>
      <c r="N65" s="22"/>
    </row>
    <row r="66" spans="1:14" s="1" customFormat="1" x14ac:dyDescent="0.25">
      <c r="A66" s="14"/>
      <c r="B66" s="17" t="str">
        <f t="shared" si="18"/>
        <v xml:space="preserve">I </v>
      </c>
      <c r="C66" s="13">
        <f t="shared" si="24"/>
        <v>38278.388278388265</v>
      </c>
      <c r="D66" s="21"/>
      <c r="E66" s="13">
        <f>'Исходные данные'!$C$59*'Исходные данные'!$H$9</f>
        <v>50000</v>
      </c>
      <c r="F66" s="17">
        <f>(C48*D42)*'Исходные данные'!$E$9/12*3</f>
        <v>0</v>
      </c>
      <c r="G66" s="24"/>
      <c r="H66" s="25"/>
      <c r="I66" s="22"/>
      <c r="J66" s="13">
        <f t="shared" si="25"/>
        <v>1270033.4387834386</v>
      </c>
      <c r="K66" s="21"/>
      <c r="L66" s="13">
        <f t="shared" si="26"/>
        <v>275000</v>
      </c>
      <c r="M66" s="21"/>
      <c r="N66" s="22"/>
    </row>
    <row r="67" spans="1:14" s="1" customFormat="1" x14ac:dyDescent="0.25">
      <c r="A67" s="14"/>
      <c r="B67" s="6" t="str">
        <f t="shared" si="18"/>
        <v>R*</v>
      </c>
      <c r="C67" s="13">
        <f t="shared" si="24"/>
        <v>76556.776556776531</v>
      </c>
      <c r="D67" s="21"/>
      <c r="E67" s="13">
        <f>'Исходные данные'!$C$59*'Исходные данные'!$H$10</f>
        <v>100000</v>
      </c>
      <c r="F67" s="17">
        <f>(C13*D15+C22*D15+C31*D24+C40*D33+C49*D42)*'Исходные данные'!$E$10/12*3</f>
        <v>65756.578947368427</v>
      </c>
      <c r="G67" s="24"/>
      <c r="H67" s="25"/>
      <c r="I67" s="22"/>
      <c r="J67" s="13">
        <f t="shared" si="25"/>
        <v>2540066.8775668773</v>
      </c>
      <c r="K67" s="21"/>
      <c r="L67" s="13">
        <f t="shared" si="26"/>
        <v>550000</v>
      </c>
      <c r="M67" s="21"/>
      <c r="N67" s="22"/>
    </row>
    <row r="68" spans="1:14" s="1" customFormat="1" x14ac:dyDescent="0.25">
      <c r="A68" s="14"/>
      <c r="B68" s="6" t="str">
        <f t="shared" si="18"/>
        <v>А*</v>
      </c>
      <c r="C68" s="13">
        <f t="shared" si="24"/>
        <v>38278.388278388265</v>
      </c>
      <c r="D68" s="21"/>
      <c r="E68" s="13">
        <f>'Исходные данные'!$C$59*'Исходные данные'!$H$11</f>
        <v>50000</v>
      </c>
      <c r="F68" s="17"/>
      <c r="G68" s="24"/>
      <c r="H68" s="25"/>
      <c r="I68" s="22"/>
      <c r="J68" s="13">
        <f t="shared" si="25"/>
        <v>1270033.4387834386</v>
      </c>
      <c r="K68" s="21"/>
      <c r="L68" s="13">
        <f t="shared" si="26"/>
        <v>275000</v>
      </c>
      <c r="M68" s="21"/>
      <c r="N68" s="22"/>
    </row>
    <row r="69" spans="1:14" s="1" customFormat="1" x14ac:dyDescent="0.25">
      <c r="A69" s="19" t="s">
        <v>27</v>
      </c>
      <c r="B69" s="4" t="str">
        <f t="shared" si="18"/>
        <v>ВСЕГО:</v>
      </c>
      <c r="C69" s="15">
        <f>SUM(C70:C77)</f>
        <v>663690.47619047586</v>
      </c>
      <c r="D69" s="25">
        <f>'Исходные данные'!E60</f>
        <v>1.5067264573991037</v>
      </c>
      <c r="E69" s="15">
        <f>SUM(E70:E77)</f>
        <v>1000000</v>
      </c>
      <c r="F69" s="15">
        <f>SUM(F70:F77)</f>
        <v>1153207.2368421052</v>
      </c>
      <c r="G69" s="23">
        <f>SUM(F70:F77)</f>
        <v>1153207.2368421052</v>
      </c>
      <c r="H69" s="25">
        <f>G69/(C6+C15+C24+C33+C42+C51)</f>
        <v>4.6811548950794285E-2</v>
      </c>
      <c r="I69" s="22">
        <f>H69/D69/3*12</f>
        <v>0.12427351685746574</v>
      </c>
      <c r="J69" s="15">
        <f>SUM(J70:J77)</f>
        <v>26064359.251859255</v>
      </c>
      <c r="K69" s="25">
        <f>L69/J69</f>
        <v>0.24938268910394695</v>
      </c>
      <c r="L69" s="15">
        <f>SUM(L70:L77)</f>
        <v>6500000</v>
      </c>
      <c r="M69" s="21">
        <f>(G6+G15+G24+G33+G42+G51+G60+G69)/J69</f>
        <v>0.1270274141751081</v>
      </c>
      <c r="N69" s="22">
        <f t="shared" ref="N69" si="27">M69/K69/3*12</f>
        <v>2.0374696356275299</v>
      </c>
    </row>
    <row r="70" spans="1:14" s="1" customFormat="1" x14ac:dyDescent="0.25">
      <c r="A70" s="14"/>
      <c r="B70" s="17" t="str">
        <f t="shared" si="18"/>
        <v>V</v>
      </c>
      <c r="C70" s="13">
        <f>E70/$D$69</f>
        <v>199107.14285714278</v>
      </c>
      <c r="D70" s="21"/>
      <c r="E70" s="13">
        <f>'Исходные данные'!$C$60*'Исходные данные'!$H$4</f>
        <v>300000</v>
      </c>
      <c r="F70" s="17">
        <f>(C52*D51)*'Исходные данные'!$E$4/12*3</f>
        <v>150000</v>
      </c>
      <c r="G70" s="24"/>
      <c r="H70" s="25"/>
      <c r="I70" s="22"/>
      <c r="J70" s="13">
        <f>C7+C16+C25+C34+C43+C52+C61+C70</f>
        <v>7819307.775557776</v>
      </c>
      <c r="K70" s="21"/>
      <c r="L70" s="13">
        <f>E7+E16+E25+E34+E43+E52+E61+E70</f>
        <v>1950000</v>
      </c>
      <c r="M70" s="21"/>
      <c r="N70" s="22"/>
    </row>
    <row r="71" spans="1:14" s="1" customFormat="1" x14ac:dyDescent="0.25">
      <c r="A71" s="14"/>
      <c r="B71" s="6" t="str">
        <f t="shared" si="18"/>
        <v>G*</v>
      </c>
      <c r="C71" s="13">
        <f t="shared" ref="C71:C76" si="28">E71/$D$69</f>
        <v>165922.61904761899</v>
      </c>
      <c r="D71" s="21"/>
      <c r="E71" s="13">
        <f>'Исходные данные'!$C$60*'Исходные данные'!$H$5</f>
        <v>250000</v>
      </c>
      <c r="F71" s="17">
        <f>(C8*D15+C17*D15+C26*D24+C35*D33+C44*D42+C53*D51)*'Исходные данные'!$E$5/12*3</f>
        <v>391282.89473684214</v>
      </c>
      <c r="G71" s="24"/>
      <c r="H71" s="25"/>
      <c r="I71" s="22"/>
      <c r="J71" s="13">
        <f t="shared" ref="J71:J77" si="29">C8+C17+C26+C35+C44+C53+C62+C71</f>
        <v>6516089.8129648129</v>
      </c>
      <c r="K71" s="21"/>
      <c r="L71" s="13">
        <f t="shared" ref="L71:L77" si="30">E8+E17+E26+E35+E44+E53+E62+E71</f>
        <v>1625000</v>
      </c>
      <c r="M71" s="21"/>
      <c r="N71" s="22"/>
    </row>
    <row r="72" spans="1:14" s="1" customFormat="1" x14ac:dyDescent="0.25">
      <c r="A72" s="14"/>
      <c r="B72" s="6" t="str">
        <f t="shared" si="18"/>
        <v>M*</v>
      </c>
      <c r="C72" s="13">
        <f t="shared" si="28"/>
        <v>99553.571428571391</v>
      </c>
      <c r="D72" s="21"/>
      <c r="E72" s="13">
        <f>'Исходные данные'!$C$60*'Исходные данные'!$H$6</f>
        <v>150000</v>
      </c>
      <c r="F72" s="17">
        <f>(C9*D15+C18*D15+C27*D24+C36*D33+C45*D42+C54*D51)*'Исходные данные'!$F$6/12*3</f>
        <v>469539.47368421045</v>
      </c>
      <c r="G72" s="24"/>
      <c r="H72" s="25"/>
      <c r="I72" s="22"/>
      <c r="J72" s="13">
        <f t="shared" si="29"/>
        <v>3909653.887778888</v>
      </c>
      <c r="K72" s="21"/>
      <c r="L72" s="13">
        <f t="shared" si="30"/>
        <v>975000</v>
      </c>
      <c r="M72" s="21"/>
      <c r="N72" s="22"/>
    </row>
    <row r="73" spans="1:14" s="1" customFormat="1" x14ac:dyDescent="0.25">
      <c r="A73" s="14"/>
      <c r="B73" s="17" t="str">
        <f t="shared" si="18"/>
        <v>F</v>
      </c>
      <c r="C73" s="13">
        <f t="shared" si="28"/>
        <v>33184.523809523795</v>
      </c>
      <c r="D73" s="21"/>
      <c r="E73" s="13">
        <f>'Исходные данные'!$C$60*'Исходные данные'!$H$7</f>
        <v>50000</v>
      </c>
      <c r="F73" s="17">
        <f>(C55*D51)*'Исходные данные'!$E$7/12*3</f>
        <v>24999.999999999996</v>
      </c>
      <c r="G73" s="24"/>
      <c r="H73" s="25"/>
      <c r="I73" s="22"/>
      <c r="J73" s="13">
        <f t="shared" si="29"/>
        <v>1303217.9625929624</v>
      </c>
      <c r="K73" s="21"/>
      <c r="L73" s="13">
        <f t="shared" si="30"/>
        <v>325000</v>
      </c>
      <c r="M73" s="21"/>
      <c r="N73" s="22"/>
    </row>
    <row r="74" spans="1:14" s="1" customFormat="1" x14ac:dyDescent="0.25">
      <c r="A74" s="14"/>
      <c r="B74" s="6" t="str">
        <f t="shared" si="18"/>
        <v>С*</v>
      </c>
      <c r="C74" s="13">
        <f t="shared" si="28"/>
        <v>33184.523809523795</v>
      </c>
      <c r="D74" s="21"/>
      <c r="E74" s="13">
        <f>'Исходные данные'!$C$60*'Исходные данные'!$H$8</f>
        <v>50000</v>
      </c>
      <c r="F74" s="17">
        <f>(C11*D15+C20*D15+C29*D24+C38*D33+C47*D42+C56*D51)*'Исходные данные'!$E$8/12*3</f>
        <v>39128.289473684214</v>
      </c>
      <c r="G74" s="24"/>
      <c r="H74" s="25"/>
      <c r="I74" s="22"/>
      <c r="J74" s="13">
        <f t="shared" si="29"/>
        <v>1303217.9625929624</v>
      </c>
      <c r="K74" s="21"/>
      <c r="L74" s="13">
        <f t="shared" si="30"/>
        <v>325000</v>
      </c>
      <c r="M74" s="21"/>
      <c r="N74" s="22"/>
    </row>
    <row r="75" spans="1:14" s="1" customFormat="1" x14ac:dyDescent="0.25">
      <c r="A75" s="14"/>
      <c r="B75" s="17" t="str">
        <f t="shared" si="18"/>
        <v xml:space="preserve">I </v>
      </c>
      <c r="C75" s="13">
        <f t="shared" si="28"/>
        <v>33184.523809523795</v>
      </c>
      <c r="D75" s="21"/>
      <c r="E75" s="13">
        <f>'Исходные данные'!$C$60*'Исходные данные'!$H$9</f>
        <v>50000</v>
      </c>
      <c r="F75" s="17">
        <f>(C57*D51)*'Исходные данные'!$E$9/12*3</f>
        <v>0</v>
      </c>
      <c r="G75" s="24"/>
      <c r="H75" s="25"/>
      <c r="I75" s="22"/>
      <c r="J75" s="13">
        <f t="shared" si="29"/>
        <v>1303217.9625929624</v>
      </c>
      <c r="K75" s="21"/>
      <c r="L75" s="13">
        <f t="shared" si="30"/>
        <v>325000</v>
      </c>
      <c r="M75" s="21"/>
      <c r="N75" s="22"/>
    </row>
    <row r="76" spans="1:14" s="1" customFormat="1" x14ac:dyDescent="0.25">
      <c r="A76" s="14"/>
      <c r="B76" s="6" t="str">
        <f t="shared" si="18"/>
        <v>R*</v>
      </c>
      <c r="C76" s="13">
        <f t="shared" si="28"/>
        <v>66369.047619047589</v>
      </c>
      <c r="D76" s="21"/>
      <c r="E76" s="13">
        <f>'Исходные данные'!$C$60*'Исходные данные'!$H$10</f>
        <v>100000</v>
      </c>
      <c r="F76" s="17">
        <f>(C13*D15+C22*D15+C31*D24+C40*D33+C49*D42+C58*D51)*'Исходные данные'!$E$10/12*3</f>
        <v>78256.578947368427</v>
      </c>
      <c r="G76" s="24"/>
      <c r="H76" s="25"/>
      <c r="I76" s="22"/>
      <c r="J76" s="13">
        <f t="shared" si="29"/>
        <v>2606435.9251859249</v>
      </c>
      <c r="K76" s="21"/>
      <c r="L76" s="13">
        <f t="shared" si="30"/>
        <v>650000</v>
      </c>
      <c r="M76" s="21"/>
      <c r="N76" s="22"/>
    </row>
    <row r="77" spans="1:14" s="1" customFormat="1" x14ac:dyDescent="0.25">
      <c r="A77" s="14"/>
      <c r="B77" s="6" t="str">
        <f t="shared" si="18"/>
        <v>А*</v>
      </c>
      <c r="C77" s="13">
        <f>E77/$D$69</f>
        <v>33184.523809523795</v>
      </c>
      <c r="D77" s="21"/>
      <c r="E77" s="13">
        <f>'Исходные данные'!$C$60*'Исходные данные'!$H$11</f>
        <v>50000</v>
      </c>
      <c r="F77" s="17"/>
      <c r="G77" s="24"/>
      <c r="H77" s="25"/>
      <c r="I77" s="22"/>
      <c r="J77" s="13">
        <f t="shared" si="29"/>
        <v>1303217.9625929624</v>
      </c>
      <c r="K77" s="21"/>
      <c r="L77" s="13">
        <f t="shared" si="30"/>
        <v>325000</v>
      </c>
      <c r="M77" s="21"/>
      <c r="N77" s="22"/>
    </row>
    <row r="78" spans="1:14" s="1" customFormat="1" x14ac:dyDescent="0.25">
      <c r="A78" s="19" t="s">
        <v>28</v>
      </c>
      <c r="B78" s="4" t="str">
        <f t="shared" si="18"/>
        <v>ВСЕГО:</v>
      </c>
      <c r="C78" s="15">
        <f>SUM(C79:C86)</f>
        <v>585784.31372549001</v>
      </c>
      <c r="D78" s="25">
        <f>'Исходные данные'!E61</f>
        <v>1.7071129707112975</v>
      </c>
      <c r="E78" s="15">
        <f>SUM(E79:E86)</f>
        <v>1000000</v>
      </c>
      <c r="F78" s="15">
        <f>SUM(F79:F86)</f>
        <v>1309457.2368421052</v>
      </c>
      <c r="G78" s="23">
        <f>SUM(F79:F86)</f>
        <v>1309457.2368421052</v>
      </c>
      <c r="H78" s="25">
        <f>G78/(C6+C15+C24+C33+C42+C51+C60)</f>
        <v>5.1552077168000802E-2</v>
      </c>
      <c r="I78" s="22">
        <f>H78/D78/3*12</f>
        <v>0.12079359257992342</v>
      </c>
      <c r="J78" s="15">
        <f>SUM(J79:J86)</f>
        <v>26650143.565584734</v>
      </c>
      <c r="K78" s="25">
        <f>L78/J78</f>
        <v>0.2814243751273931</v>
      </c>
      <c r="L78" s="15">
        <f>SUM(L79:L86)</f>
        <v>7500000</v>
      </c>
      <c r="M78" s="21">
        <f>(G6+G15+G24+G33+G42+G51+G60+G69+G78)/J78</f>
        <v>0.17337037541153921</v>
      </c>
      <c r="N78" s="22">
        <f t="shared" ref="N78" si="31">M78/K78/3*12</f>
        <v>2.4641842105263154</v>
      </c>
    </row>
    <row r="79" spans="1:14" s="1" customFormat="1" x14ac:dyDescent="0.25">
      <c r="A79" s="14"/>
      <c r="B79" s="17" t="str">
        <f t="shared" ref="B79:B110" si="32">B70</f>
        <v>V</v>
      </c>
      <c r="C79" s="13">
        <f>E79/$D$78</f>
        <v>175735.29411764702</v>
      </c>
      <c r="D79" s="21"/>
      <c r="E79" s="13">
        <f>'Исходные данные'!$C$61*'Исходные данные'!$H$4</f>
        <v>300000</v>
      </c>
      <c r="F79" s="17">
        <f>(C61*D60)*'Исходные данные'!$E$4/12*3</f>
        <v>150000</v>
      </c>
      <c r="G79" s="24"/>
      <c r="H79" s="25"/>
      <c r="I79" s="22"/>
      <c r="J79" s="13">
        <f>C7+C16+C25+C34+C43+C52+C61+C70+C79</f>
        <v>7995043.0696754232</v>
      </c>
      <c r="K79" s="21"/>
      <c r="L79" s="13">
        <f>E7+E16+E25+E34+E43+E52+E61+E70+E79</f>
        <v>2250000</v>
      </c>
      <c r="M79" s="21"/>
      <c r="N79" s="22"/>
    </row>
    <row r="80" spans="1:14" s="1" customFormat="1" x14ac:dyDescent="0.25">
      <c r="A80" s="14"/>
      <c r="B80" s="6" t="str">
        <f t="shared" si="32"/>
        <v>G*</v>
      </c>
      <c r="C80" s="13">
        <f t="shared" ref="C80:C86" si="33">E80/$D$78</f>
        <v>146446.0784313725</v>
      </c>
      <c r="D80" s="21"/>
      <c r="E80" s="13">
        <f>'Исходные данные'!$C$61*'Исходные данные'!$H$5</f>
        <v>250000</v>
      </c>
      <c r="F80" s="17">
        <f>(C8*D15+C17*D15+C26*D24+C35*D33+C44*D42+C53*D51+C62*D60)*'Исходные данные'!$E$5/12*3</f>
        <v>453782.89473684214</v>
      </c>
      <c r="G80" s="24"/>
      <c r="H80" s="25"/>
      <c r="I80" s="22"/>
      <c r="J80" s="13">
        <f t="shared" ref="J80:J86" si="34">C8+C17+C26+C35+C44+C53+C62+C71+C80</f>
        <v>6662535.8913961854</v>
      </c>
      <c r="K80" s="21"/>
      <c r="L80" s="13">
        <f t="shared" ref="L80:L86" si="35">E8+E17+E26+E35+E44+E53+E62+E71+E80</f>
        <v>1875000</v>
      </c>
      <c r="M80" s="21"/>
      <c r="N80" s="22"/>
    </row>
    <row r="81" spans="1:14" s="1" customFormat="1" x14ac:dyDescent="0.25">
      <c r="A81" s="14"/>
      <c r="B81" s="6" t="str">
        <f t="shared" si="32"/>
        <v>M*</v>
      </c>
      <c r="C81" s="13">
        <f t="shared" si="33"/>
        <v>87867.64705882351</v>
      </c>
      <c r="D81" s="21"/>
      <c r="E81" s="13">
        <f>'Исходные данные'!$C$61*'Исходные данные'!$H$6</f>
        <v>150000</v>
      </c>
      <c r="F81" s="17">
        <f>(C9*D15+C18*D15+C27*D24+C36*D33+C45*D42+C54*D51+C63*D60)*'Исходные данные'!$F$6/12*3</f>
        <v>544539.47368421056</v>
      </c>
      <c r="G81" s="24"/>
      <c r="H81" s="25"/>
      <c r="I81" s="22"/>
      <c r="J81" s="13">
        <f t="shared" si="34"/>
        <v>3997521.5348377116</v>
      </c>
      <c r="K81" s="21"/>
      <c r="L81" s="13">
        <f t="shared" si="35"/>
        <v>1125000</v>
      </c>
      <c r="M81" s="21"/>
      <c r="N81" s="22"/>
    </row>
    <row r="82" spans="1:14" s="1" customFormat="1" x14ac:dyDescent="0.25">
      <c r="A82" s="14"/>
      <c r="B82" s="17" t="str">
        <f t="shared" si="32"/>
        <v>F</v>
      </c>
      <c r="C82" s="13">
        <f t="shared" si="33"/>
        <v>29289.215686274503</v>
      </c>
      <c r="D82" s="21"/>
      <c r="E82" s="13">
        <f>'Исходные данные'!$C$61*'Исходные данные'!$H$7</f>
        <v>50000</v>
      </c>
      <c r="F82" s="17">
        <f>(C64*D60)*'Исходные данные'!$E$7/12*3</f>
        <v>25000</v>
      </c>
      <c r="G82" s="24"/>
      <c r="H82" s="25"/>
      <c r="I82" s="22"/>
      <c r="J82" s="13">
        <f t="shared" si="34"/>
        <v>1332507.1782792369</v>
      </c>
      <c r="K82" s="21"/>
      <c r="L82" s="13">
        <f t="shared" si="35"/>
        <v>375000</v>
      </c>
      <c r="M82" s="21"/>
      <c r="N82" s="22"/>
    </row>
    <row r="83" spans="1:14" s="1" customFormat="1" x14ac:dyDescent="0.25">
      <c r="A83" s="14"/>
      <c r="B83" s="6" t="str">
        <f t="shared" si="32"/>
        <v>С*</v>
      </c>
      <c r="C83" s="13">
        <f t="shared" si="33"/>
        <v>29289.215686274503</v>
      </c>
      <c r="D83" s="21"/>
      <c r="E83" s="13">
        <f>'Исходные данные'!$C$61*'Исходные данные'!$H$8</f>
        <v>50000</v>
      </c>
      <c r="F83" s="17">
        <f>(C11*D15+C20*D15+C29*D24+C38*D33+C47*D42+C56*D51+C65*D60)*'Исходные данные'!$E$8/12*3</f>
        <v>45378.289473684214</v>
      </c>
      <c r="G83" s="24"/>
      <c r="H83" s="25"/>
      <c r="I83" s="22"/>
      <c r="J83" s="13">
        <f t="shared" si="34"/>
        <v>1332507.1782792369</v>
      </c>
      <c r="K83" s="21"/>
      <c r="L83" s="13">
        <f t="shared" si="35"/>
        <v>375000</v>
      </c>
      <c r="M83" s="21"/>
      <c r="N83" s="22"/>
    </row>
    <row r="84" spans="1:14" s="1" customFormat="1" x14ac:dyDescent="0.25">
      <c r="A84" s="14"/>
      <c r="B84" s="17" t="str">
        <f t="shared" si="32"/>
        <v xml:space="preserve">I </v>
      </c>
      <c r="C84" s="13">
        <f t="shared" si="33"/>
        <v>29289.215686274503</v>
      </c>
      <c r="D84" s="21"/>
      <c r="E84" s="13">
        <f>'Исходные данные'!$C$61*'Исходные данные'!$H$9</f>
        <v>50000</v>
      </c>
      <c r="F84" s="17">
        <f>(C66*D60)*'Исходные данные'!$E$9/12*3</f>
        <v>0</v>
      </c>
      <c r="G84" s="24"/>
      <c r="H84" s="25"/>
      <c r="I84" s="22"/>
      <c r="J84" s="13">
        <f t="shared" si="34"/>
        <v>1332507.1782792369</v>
      </c>
      <c r="K84" s="21"/>
      <c r="L84" s="13">
        <f t="shared" si="35"/>
        <v>375000</v>
      </c>
      <c r="M84" s="21"/>
      <c r="N84" s="22"/>
    </row>
    <row r="85" spans="1:14" s="1" customFormat="1" x14ac:dyDescent="0.25">
      <c r="A85" s="14"/>
      <c r="B85" s="6" t="str">
        <f t="shared" si="32"/>
        <v>R*</v>
      </c>
      <c r="C85" s="13">
        <f t="shared" si="33"/>
        <v>58578.431372549006</v>
      </c>
      <c r="D85" s="21"/>
      <c r="E85" s="13">
        <f>'Исходные данные'!$C$61*'Исходные данные'!$H$10</f>
        <v>100000</v>
      </c>
      <c r="F85" s="17">
        <f>(C13*D15+C22*D15+C31*D24+C40*D33+C49*D42+C58*D51+C67*D60)*'Исходные данные'!$E$10/12*3</f>
        <v>90756.578947368427</v>
      </c>
      <c r="G85" s="24"/>
      <c r="H85" s="25"/>
      <c r="I85" s="22"/>
      <c r="J85" s="13">
        <f t="shared" si="34"/>
        <v>2665014.3565584738</v>
      </c>
      <c r="K85" s="21"/>
      <c r="L85" s="13">
        <f t="shared" si="35"/>
        <v>750000</v>
      </c>
      <c r="M85" s="21"/>
      <c r="N85" s="22"/>
    </row>
    <row r="86" spans="1:14" s="1" customFormat="1" x14ac:dyDescent="0.25">
      <c r="A86" s="14"/>
      <c r="B86" s="6" t="str">
        <f t="shared" si="32"/>
        <v>А*</v>
      </c>
      <c r="C86" s="13">
        <f t="shared" si="33"/>
        <v>29289.215686274503</v>
      </c>
      <c r="D86" s="21"/>
      <c r="E86" s="13">
        <f>'Исходные данные'!$C$61*'Исходные данные'!$H$11</f>
        <v>50000</v>
      </c>
      <c r="F86" s="17"/>
      <c r="G86" s="24"/>
      <c r="H86" s="25"/>
      <c r="I86" s="22"/>
      <c r="J86" s="13">
        <f t="shared" si="34"/>
        <v>1332507.1782792369</v>
      </c>
      <c r="K86" s="21"/>
      <c r="L86" s="13">
        <f t="shared" si="35"/>
        <v>375000</v>
      </c>
      <c r="M86" s="21"/>
      <c r="N86" s="22"/>
    </row>
    <row r="87" spans="1:14" s="1" customFormat="1" x14ac:dyDescent="0.25">
      <c r="A87" s="19" t="s">
        <v>29</v>
      </c>
      <c r="B87" s="4" t="str">
        <f t="shared" si="32"/>
        <v>ВСЕГО:</v>
      </c>
      <c r="C87" s="15">
        <f>SUM(C88:C95)</f>
        <v>424269.00584795303</v>
      </c>
      <c r="D87" s="25">
        <f>'Исходные данные'!E62</f>
        <v>1.8855961405926953</v>
      </c>
      <c r="E87" s="15">
        <f>SUM(E88:E95)</f>
        <v>800000</v>
      </c>
      <c r="F87" s="15">
        <f>SUM(F88:F95)</f>
        <v>1465707.2368421052</v>
      </c>
      <c r="G87" s="23">
        <f>SUM(F88:F95)</f>
        <v>1465707.2368421052</v>
      </c>
      <c r="H87" s="25">
        <f>G87/(C6+C15+C24+C33+C42+C51+C60+C69)</f>
        <v>5.623415571735383E-2</v>
      </c>
      <c r="I87" s="22">
        <f>H87/D87/3*12</f>
        <v>0.11929204670450347</v>
      </c>
      <c r="J87" s="15">
        <f>SUM(J88:J95)</f>
        <v>27074412.571432691</v>
      </c>
      <c r="K87" s="25">
        <f>L87/J87</f>
        <v>0.30656251462894768</v>
      </c>
      <c r="L87" s="15">
        <f>SUM(L88:L95)</f>
        <v>8300000</v>
      </c>
      <c r="M87" s="21">
        <f>(G6+G15+G24+G33+G42+G51+G60+G69+G78+G87)/J87</f>
        <v>0.22478983119288753</v>
      </c>
      <c r="N87" s="22">
        <f t="shared" ref="N87" si="36">M87/K87/3*12</f>
        <v>2.933037412809131</v>
      </c>
    </row>
    <row r="88" spans="1:14" s="1" customFormat="1" x14ac:dyDescent="0.25">
      <c r="A88" s="14"/>
      <c r="B88" s="17" t="str">
        <f t="shared" si="32"/>
        <v>V</v>
      </c>
      <c r="C88" s="13">
        <f>E88/$D$87</f>
        <v>127280.70175438593</v>
      </c>
      <c r="D88" s="21"/>
      <c r="E88" s="13">
        <f>'Исходные данные'!$C$62*'Исходные данные'!$H$4</f>
        <v>240000</v>
      </c>
      <c r="F88" s="17">
        <f>(C70*D69)*'Исходные данные'!$E$4/12*3</f>
        <v>150000</v>
      </c>
      <c r="G88" s="24"/>
      <c r="H88" s="25"/>
      <c r="I88" s="22"/>
      <c r="J88" s="13">
        <f>C7+C16+C25+C34+C43+C52+C61+C70+C79+C88</f>
        <v>8122323.7714298088</v>
      </c>
      <c r="K88" s="21"/>
      <c r="L88" s="13">
        <f>E7+E16+E25+E34+E43+E52+E61+E70+E79+E88</f>
        <v>2490000</v>
      </c>
      <c r="M88" s="21"/>
      <c r="N88" s="22"/>
    </row>
    <row r="89" spans="1:14" s="1" customFormat="1" x14ac:dyDescent="0.25">
      <c r="A89" s="14"/>
      <c r="B89" s="6" t="str">
        <f t="shared" si="32"/>
        <v>G*</v>
      </c>
      <c r="C89" s="13">
        <f t="shared" ref="C89:C95" si="37">E89/$D$87</f>
        <v>106067.25146198827</v>
      </c>
      <c r="D89" s="21"/>
      <c r="E89" s="13">
        <f>'Исходные данные'!$C$62*'Исходные данные'!$H$5</f>
        <v>200000</v>
      </c>
      <c r="F89" s="17">
        <f>(C8*D15+C17*D15+C26*D24+C35*D33+C44*D42+C53*D51+C62*D60+C71*D69)*'Исходные данные'!$E$5/12*3</f>
        <v>516282.89473684214</v>
      </c>
      <c r="G89" s="24"/>
      <c r="H89" s="25"/>
      <c r="I89" s="22"/>
      <c r="J89" s="13">
        <f t="shared" ref="J89:J95" si="38">C8+C17+C26+C35+C44+C53+C62+C71+C80+C89</f>
        <v>6768603.1428581737</v>
      </c>
      <c r="K89" s="21"/>
      <c r="L89" s="13">
        <f t="shared" ref="L89:L95" si="39">E8+E17+E26+E35+E44+E53+E62+E71+E80+E89</f>
        <v>2075000</v>
      </c>
      <c r="M89" s="21"/>
      <c r="N89" s="22"/>
    </row>
    <row r="90" spans="1:14" s="1" customFormat="1" x14ac:dyDescent="0.25">
      <c r="A90" s="14"/>
      <c r="B90" s="6" t="str">
        <f t="shared" si="32"/>
        <v>M*</v>
      </c>
      <c r="C90" s="13">
        <f t="shared" si="37"/>
        <v>63640.350877192963</v>
      </c>
      <c r="D90" s="21"/>
      <c r="E90" s="13">
        <f>'Исходные данные'!$C$62*'Исходные данные'!$H$6</f>
        <v>120000</v>
      </c>
      <c r="F90" s="17">
        <f>(C9*D15+C18*D15+C27*D24+C36*D33+C45*D42+C54*D51+C63*D60+C72*D69)*'Исходные данные'!$F$6/12*3</f>
        <v>619539.47368421056</v>
      </c>
      <c r="G90" s="24"/>
      <c r="H90" s="25"/>
      <c r="I90" s="22"/>
      <c r="J90" s="13">
        <f t="shared" si="38"/>
        <v>4061161.8857149044</v>
      </c>
      <c r="K90" s="21"/>
      <c r="L90" s="13">
        <f t="shared" si="39"/>
        <v>1245000</v>
      </c>
      <c r="M90" s="21"/>
      <c r="N90" s="22"/>
    </row>
    <row r="91" spans="1:14" s="1" customFormat="1" x14ac:dyDescent="0.25">
      <c r="A91" s="14"/>
      <c r="B91" s="17" t="str">
        <f t="shared" si="32"/>
        <v>F</v>
      </c>
      <c r="C91" s="13">
        <f t="shared" si="37"/>
        <v>21213.450292397654</v>
      </c>
      <c r="D91" s="21"/>
      <c r="E91" s="13">
        <f>'Исходные данные'!$C$62*'Исходные данные'!$H$7</f>
        <v>40000</v>
      </c>
      <c r="F91" s="17">
        <f>(C73*D69)*'Исходные данные'!$E$7/12*3</f>
        <v>25000</v>
      </c>
      <c r="G91" s="24"/>
      <c r="H91" s="25"/>
      <c r="I91" s="22"/>
      <c r="J91" s="13">
        <f t="shared" si="38"/>
        <v>1353720.6285716346</v>
      </c>
      <c r="K91" s="21"/>
      <c r="L91" s="13">
        <f t="shared" si="39"/>
        <v>415000</v>
      </c>
      <c r="M91" s="21"/>
      <c r="N91" s="22"/>
    </row>
    <row r="92" spans="1:14" s="1" customFormat="1" x14ac:dyDescent="0.25">
      <c r="A92" s="14"/>
      <c r="B92" s="6" t="str">
        <f t="shared" si="32"/>
        <v>С*</v>
      </c>
      <c r="C92" s="13">
        <f t="shared" si="37"/>
        <v>21213.450292397654</v>
      </c>
      <c r="D92" s="21"/>
      <c r="E92" s="13">
        <f>'Исходные данные'!$C$62*'Исходные данные'!$H$8</f>
        <v>40000</v>
      </c>
      <c r="F92" s="17">
        <f>(C11*D15+C20*D15+C29*D24+C38*D33+C47*D42+C56*D51+C65*D60+C74*D69)*'Исходные данные'!$E$8/12*3</f>
        <v>51628.289473684214</v>
      </c>
      <c r="G92" s="24"/>
      <c r="H92" s="25"/>
      <c r="I92" s="22"/>
      <c r="J92" s="13">
        <f t="shared" si="38"/>
        <v>1353720.6285716346</v>
      </c>
      <c r="K92" s="21"/>
      <c r="L92" s="13">
        <f t="shared" si="39"/>
        <v>415000</v>
      </c>
      <c r="M92" s="21"/>
      <c r="N92" s="22"/>
    </row>
    <row r="93" spans="1:14" s="1" customFormat="1" x14ac:dyDescent="0.25">
      <c r="A93" s="14"/>
      <c r="B93" s="17" t="str">
        <f t="shared" si="32"/>
        <v xml:space="preserve">I </v>
      </c>
      <c r="C93" s="13">
        <f t="shared" si="37"/>
        <v>21213.450292397654</v>
      </c>
      <c r="D93" s="21"/>
      <c r="E93" s="13">
        <f>'Исходные данные'!$C$62*'Исходные данные'!$H$9</f>
        <v>40000</v>
      </c>
      <c r="F93" s="17">
        <f>(C75*D69)*'Исходные данные'!$E$9/12*3</f>
        <v>0</v>
      </c>
      <c r="G93" s="24"/>
      <c r="H93" s="25"/>
      <c r="I93" s="22"/>
      <c r="J93" s="13">
        <f t="shared" si="38"/>
        <v>1353720.6285716346</v>
      </c>
      <c r="K93" s="21"/>
      <c r="L93" s="13">
        <f t="shared" si="39"/>
        <v>415000</v>
      </c>
      <c r="M93" s="21"/>
      <c r="N93" s="22"/>
    </row>
    <row r="94" spans="1:14" s="1" customFormat="1" x14ac:dyDescent="0.25">
      <c r="A94" s="14"/>
      <c r="B94" s="6" t="str">
        <f t="shared" si="32"/>
        <v>R*</v>
      </c>
      <c r="C94" s="13">
        <f t="shared" si="37"/>
        <v>42426.900584795309</v>
      </c>
      <c r="D94" s="21"/>
      <c r="E94" s="13">
        <f>'Исходные данные'!$C$62*'Исходные данные'!$H$10</f>
        <v>80000</v>
      </c>
      <c r="F94" s="17">
        <f>(C13*D15+C22*D15+C31*D24+C40*D33+C49*D42+C58*D51+C67*D60+C76*D69)*'Исходные данные'!$E$10/12*3</f>
        <v>103256.57894736843</v>
      </c>
      <c r="G94" s="24"/>
      <c r="H94" s="25"/>
      <c r="I94" s="22"/>
      <c r="J94" s="13">
        <f t="shared" si="38"/>
        <v>2707441.2571432693</v>
      </c>
      <c r="K94" s="21"/>
      <c r="L94" s="13">
        <f t="shared" si="39"/>
        <v>830000</v>
      </c>
      <c r="M94" s="21"/>
      <c r="N94" s="22"/>
    </row>
    <row r="95" spans="1:14" s="1" customFormat="1" x14ac:dyDescent="0.25">
      <c r="A95" s="14"/>
      <c r="B95" s="6" t="str">
        <f t="shared" si="32"/>
        <v>А*</v>
      </c>
      <c r="C95" s="13">
        <f t="shared" si="37"/>
        <v>21213.450292397654</v>
      </c>
      <c r="D95" s="21"/>
      <c r="E95" s="13">
        <f>'Исходные данные'!$C$62*'Исходные данные'!$H$11</f>
        <v>40000</v>
      </c>
      <c r="F95" s="17"/>
      <c r="G95" s="24"/>
      <c r="H95" s="25"/>
      <c r="I95" s="22"/>
      <c r="J95" s="13">
        <f t="shared" si="38"/>
        <v>1353720.6285716346</v>
      </c>
      <c r="K95" s="21"/>
      <c r="L95" s="13">
        <f t="shared" si="39"/>
        <v>415000</v>
      </c>
      <c r="M95" s="21"/>
      <c r="N95" s="22"/>
    </row>
    <row r="96" spans="1:14" s="1" customFormat="1" x14ac:dyDescent="0.25">
      <c r="A96" s="19" t="s">
        <v>31</v>
      </c>
      <c r="B96" s="4" t="str">
        <f t="shared" si="32"/>
        <v>ВСЕГО:</v>
      </c>
      <c r="C96" s="15">
        <f>SUM(C97:C104)</f>
        <v>390476.19047619036</v>
      </c>
      <c r="D96" s="25">
        <f>'Исходные данные'!E63</f>
        <v>2.048780487804879</v>
      </c>
      <c r="E96" s="15">
        <f>SUM(E97:E104)</f>
        <v>800000</v>
      </c>
      <c r="F96" s="15">
        <f>SUM(F97:F104)</f>
        <v>1621957.2368421052</v>
      </c>
      <c r="G96" s="23">
        <f>SUM(F97:F104)</f>
        <v>1621957.2368421052</v>
      </c>
      <c r="H96" s="25">
        <f>G96/(C6+C15+C24+C33+C42+C51+C60+C69+C78)</f>
        <v>6.0861106914885665E-2</v>
      </c>
      <c r="I96" s="22">
        <f>H96/D96/3*12</f>
        <v>0.11882406588144337</v>
      </c>
      <c r="J96" s="15">
        <f>SUM(J97:J104)</f>
        <v>27464888.761908881</v>
      </c>
      <c r="K96" s="25">
        <f>L96/J96</f>
        <v>0.33133212658850492</v>
      </c>
      <c r="L96" s="15">
        <f>SUM(L97:L104)</f>
        <v>9100000</v>
      </c>
      <c r="M96" s="21">
        <f>(G6+G15+G24+G33+G42+G51+G60+G69+G78+G87+G96)/J96</f>
        <v>0.28064959356803615</v>
      </c>
      <c r="N96" s="22">
        <f t="shared" ref="N96" si="40">M96/K96/3*12</f>
        <v>3.3881362058993632</v>
      </c>
    </row>
    <row r="97" spans="1:14" s="1" customFormat="1" x14ac:dyDescent="0.25">
      <c r="A97" s="14"/>
      <c r="B97" s="17" t="str">
        <f t="shared" si="32"/>
        <v>V</v>
      </c>
      <c r="C97" s="13">
        <f>E97/$D$96</f>
        <v>117142.85714285709</v>
      </c>
      <c r="D97" s="21"/>
      <c r="E97" s="13">
        <f>'Исходные данные'!$C$63*'Исходные данные'!$H$4</f>
        <v>240000</v>
      </c>
      <c r="F97" s="17">
        <f>(C79*D78)*'Исходные данные'!$E$4/12*3</f>
        <v>150000</v>
      </c>
      <c r="G97" s="24"/>
      <c r="H97" s="25"/>
      <c r="I97" s="22"/>
      <c r="J97" s="13">
        <f>C7+C16+C25+C34+C43+C52+C61+C70+C79+C88+C97</f>
        <v>8239466.6285726661</v>
      </c>
      <c r="K97" s="21"/>
      <c r="L97" s="13">
        <f>E7+E16+E25+E34+E43+E52+E61+E70+E79+E88+E97</f>
        <v>2730000</v>
      </c>
      <c r="M97" s="21"/>
      <c r="N97" s="22"/>
    </row>
    <row r="98" spans="1:14" s="1" customFormat="1" x14ac:dyDescent="0.25">
      <c r="A98" s="14"/>
      <c r="B98" s="6" t="str">
        <f t="shared" si="32"/>
        <v>G*</v>
      </c>
      <c r="C98" s="13">
        <f t="shared" ref="C98:C104" si="41">E98/$D$96</f>
        <v>97619.047619047575</v>
      </c>
      <c r="D98" s="21"/>
      <c r="E98" s="13">
        <f>'Исходные данные'!$C$63*'Исходные данные'!$H$5</f>
        <v>200000</v>
      </c>
      <c r="F98" s="17">
        <f>(C8*D15+C17*D15+C26*D24+C35*D33+C44*D42+C53*D51+C62*D60+C71*D69+C80*D78)*'Исходные данные'!$E$5/12*3</f>
        <v>578782.89473684214</v>
      </c>
      <c r="G98" s="24"/>
      <c r="H98" s="25"/>
      <c r="I98" s="22"/>
      <c r="J98" s="13">
        <f t="shared" ref="J98:J104" si="42">C8+C17+C26+C35+C44+C53+C62+C71+C80+C89+C98</f>
        <v>6866222.1904772213</v>
      </c>
      <c r="K98" s="21"/>
      <c r="L98" s="13">
        <f t="shared" ref="L98:L104" si="43">E8+E17+E26+E35+E44+E53+E62+E71+E80+E89+E98</f>
        <v>2275000</v>
      </c>
      <c r="M98" s="21"/>
      <c r="N98" s="22"/>
    </row>
    <row r="99" spans="1:14" s="1" customFormat="1" x14ac:dyDescent="0.25">
      <c r="A99" s="14"/>
      <c r="B99" s="6" t="str">
        <f t="shared" si="32"/>
        <v>M*</v>
      </c>
      <c r="C99" s="13">
        <f t="shared" si="41"/>
        <v>58571.428571428543</v>
      </c>
      <c r="D99" s="21"/>
      <c r="E99" s="13">
        <f>'Исходные данные'!$C$63*'Исходные данные'!$H$6</f>
        <v>120000</v>
      </c>
      <c r="F99" s="17">
        <f>(C9*D15+C18*D15+C27*D24+C36*D33+C45*D42+C54*D51+C63*D60+C72*D69+C81*D78)*'Исходные данные'!$F$6/12*3</f>
        <v>694539.47368421056</v>
      </c>
      <c r="G99" s="24"/>
      <c r="H99" s="25"/>
      <c r="I99" s="22"/>
      <c r="J99" s="13">
        <f t="shared" si="42"/>
        <v>4119733.314286333</v>
      </c>
      <c r="K99" s="21"/>
      <c r="L99" s="13">
        <f t="shared" si="43"/>
        <v>1365000</v>
      </c>
      <c r="M99" s="21"/>
      <c r="N99" s="22"/>
    </row>
    <row r="100" spans="1:14" s="1" customFormat="1" x14ac:dyDescent="0.25">
      <c r="A100" s="14"/>
      <c r="B100" s="17" t="str">
        <f t="shared" si="32"/>
        <v>F</v>
      </c>
      <c r="C100" s="13">
        <f t="shared" si="41"/>
        <v>19523.809523809516</v>
      </c>
      <c r="D100" s="21"/>
      <c r="E100" s="13">
        <f>'Исходные данные'!$C$63*'Исходные данные'!$H$7</f>
        <v>40000</v>
      </c>
      <c r="F100" s="17">
        <f>(C82*D78)*'Исходные данные'!$E$7/12*3</f>
        <v>25000</v>
      </c>
      <c r="G100" s="24"/>
      <c r="H100" s="25"/>
      <c r="I100" s="22"/>
      <c r="J100" s="13">
        <f t="shared" si="42"/>
        <v>1373244.4380954441</v>
      </c>
      <c r="K100" s="21"/>
      <c r="L100" s="13">
        <f t="shared" si="43"/>
        <v>455000</v>
      </c>
      <c r="M100" s="21"/>
      <c r="N100" s="22"/>
    </row>
    <row r="101" spans="1:14" s="1" customFormat="1" x14ac:dyDescent="0.25">
      <c r="A101" s="14"/>
      <c r="B101" s="6" t="str">
        <f t="shared" si="32"/>
        <v>С*</v>
      </c>
      <c r="C101" s="13">
        <f t="shared" si="41"/>
        <v>19523.809523809516</v>
      </c>
      <c r="D101" s="21"/>
      <c r="E101" s="13">
        <f>'Исходные данные'!$C$63*'Исходные данные'!$H$8</f>
        <v>40000</v>
      </c>
      <c r="F101" s="17">
        <f>(C11*D15+C20*D15+C29*D24+C38*D33+C47*D42+C56*D51+C65*D60+C74*D69+C83*D78)*'Исходные данные'!$E$8/12*3</f>
        <v>57878.289473684214</v>
      </c>
      <c r="G101" s="24"/>
      <c r="H101" s="25"/>
      <c r="I101" s="22"/>
      <c r="J101" s="13">
        <f t="shared" si="42"/>
        <v>1373244.4380954441</v>
      </c>
      <c r="K101" s="21"/>
      <c r="L101" s="13">
        <f t="shared" si="43"/>
        <v>455000</v>
      </c>
      <c r="M101" s="21"/>
      <c r="N101" s="22"/>
    </row>
    <row r="102" spans="1:14" s="1" customFormat="1" x14ac:dyDescent="0.25">
      <c r="A102" s="14"/>
      <c r="B102" s="17" t="str">
        <f t="shared" si="32"/>
        <v xml:space="preserve">I </v>
      </c>
      <c r="C102" s="13">
        <f t="shared" si="41"/>
        <v>19523.809523809516</v>
      </c>
      <c r="D102" s="21"/>
      <c r="E102" s="13">
        <f>'Исходные данные'!$C$63*'Исходные данные'!$H$9</f>
        <v>40000</v>
      </c>
      <c r="F102" s="17">
        <f>(C84*D78)*'Исходные данные'!$E$9/12*3</f>
        <v>0</v>
      </c>
      <c r="G102" s="24"/>
      <c r="H102" s="25"/>
      <c r="I102" s="22"/>
      <c r="J102" s="13">
        <f t="shared" si="42"/>
        <v>1373244.4380954441</v>
      </c>
      <c r="K102" s="21"/>
      <c r="L102" s="13">
        <f t="shared" si="43"/>
        <v>455000</v>
      </c>
      <c r="M102" s="21"/>
      <c r="N102" s="22"/>
    </row>
    <row r="103" spans="1:14" s="1" customFormat="1" x14ac:dyDescent="0.25">
      <c r="A103" s="14"/>
      <c r="B103" s="6" t="str">
        <f t="shared" si="32"/>
        <v>R*</v>
      </c>
      <c r="C103" s="13">
        <f t="shared" si="41"/>
        <v>39047.619047619031</v>
      </c>
      <c r="D103" s="21"/>
      <c r="E103" s="13">
        <f>'Исходные данные'!$C$63*'Исходные данные'!$H$10</f>
        <v>80000</v>
      </c>
      <c r="F103" s="17">
        <f>(C13*D15+C22*D15+C31*D24+C40*D33+C49*D42+C58*D51+C67*D60+C76*D69+C85*D78)*'Исходные данные'!$E$10/12*3</f>
        <v>115756.57894736843</v>
      </c>
      <c r="G103" s="24"/>
      <c r="H103" s="25"/>
      <c r="I103" s="22"/>
      <c r="J103" s="13">
        <f t="shared" si="42"/>
        <v>2746488.8761908882</v>
      </c>
      <c r="K103" s="21"/>
      <c r="L103" s="13">
        <f t="shared" si="43"/>
        <v>910000</v>
      </c>
      <c r="M103" s="21"/>
      <c r="N103" s="22"/>
    </row>
    <row r="104" spans="1:14" s="1" customFormat="1" x14ac:dyDescent="0.25">
      <c r="A104" s="14"/>
      <c r="B104" s="6" t="str">
        <f t="shared" si="32"/>
        <v>А*</v>
      </c>
      <c r="C104" s="13">
        <f t="shared" si="41"/>
        <v>19523.809523809516</v>
      </c>
      <c r="D104" s="21"/>
      <c r="E104" s="13">
        <f>'Исходные данные'!$C$63*'Исходные данные'!$H$11</f>
        <v>40000</v>
      </c>
      <c r="F104" s="17"/>
      <c r="G104" s="24"/>
      <c r="H104" s="25"/>
      <c r="I104" s="22"/>
      <c r="J104" s="13">
        <f t="shared" si="42"/>
        <v>1373244.4380954441</v>
      </c>
      <c r="K104" s="21"/>
      <c r="L104" s="13">
        <f t="shared" si="43"/>
        <v>455000</v>
      </c>
      <c r="M104" s="21"/>
      <c r="N104" s="22"/>
    </row>
    <row r="105" spans="1:14" s="1" customFormat="1" x14ac:dyDescent="0.25">
      <c r="A105" s="19" t="s">
        <v>32</v>
      </c>
      <c r="B105" s="4" t="str">
        <f t="shared" si="32"/>
        <v>ВСЕГО:</v>
      </c>
      <c r="C105" s="15">
        <f>SUM(C106:C113)</f>
        <v>361848.29663090513</v>
      </c>
      <c r="D105" s="25">
        <f>'Исходные данные'!E64</f>
        <v>2.2108712613784149</v>
      </c>
      <c r="E105" s="15">
        <f>SUM(E106:E113)</f>
        <v>800000</v>
      </c>
      <c r="F105" s="15">
        <f>SUM(F106:F113)</f>
        <v>1774835.5263157894</v>
      </c>
      <c r="G105" s="23">
        <f>SUM(F106:F113)</f>
        <v>1774835.5263157894</v>
      </c>
      <c r="H105" s="25">
        <f>G105/(C6+C15+C24+C33+C42+C51+C60+C69+C78+C87)</f>
        <v>6.5553980963874728E-2</v>
      </c>
      <c r="I105" s="22">
        <f>H105/D105/3*12</f>
        <v>0.11860298174576425</v>
      </c>
      <c r="J105" s="15">
        <f>SUM(J106:J113)</f>
        <v>27826737.058539785</v>
      </c>
      <c r="K105" s="25">
        <f>L105/J105</f>
        <v>0.35577293806216403</v>
      </c>
      <c r="L105" s="15">
        <f>SUM(L106:L113)</f>
        <v>9900000</v>
      </c>
      <c r="M105" s="21">
        <f>(G6+G15+G24+G33+G42+G51+G60+G69+G78+G87+G96+G105)/J105</f>
        <v>0.34078179467422098</v>
      </c>
      <c r="N105" s="22">
        <f t="shared" ref="N105" si="44">M105/K105/3*12</f>
        <v>3.8314526847421577</v>
      </c>
    </row>
    <row r="106" spans="1:14" s="1" customFormat="1" x14ac:dyDescent="0.25">
      <c r="A106" s="14"/>
      <c r="B106" s="17" t="str">
        <f t="shared" si="32"/>
        <v>V</v>
      </c>
      <c r="C106" s="13">
        <f>E106/$D$105</f>
        <v>108554.48898927153</v>
      </c>
      <c r="D106" s="21"/>
      <c r="E106" s="13">
        <f>'Исходные данные'!$C$64*'Исходные данные'!$H$4</f>
        <v>240000</v>
      </c>
      <c r="F106" s="17">
        <f>(C88*D87)*'Исходные данные'!$E$4/12*3</f>
        <v>120000</v>
      </c>
      <c r="G106" s="24"/>
      <c r="H106" s="25"/>
      <c r="I106" s="22"/>
      <c r="J106" s="13">
        <f>C7+C16+C25+C34+C43+C52+C61+C70+C79+C88+C97+C106</f>
        <v>8348021.1175619373</v>
      </c>
      <c r="K106" s="21"/>
      <c r="L106" s="13">
        <f>E7+E16+E25+E34+E43+E52+E61+E70+E79+E88+E97+E106</f>
        <v>2970000</v>
      </c>
      <c r="M106" s="21"/>
      <c r="N106" s="22"/>
    </row>
    <row r="107" spans="1:14" s="1" customFormat="1" x14ac:dyDescent="0.25">
      <c r="A107" s="14"/>
      <c r="B107" s="6" t="str">
        <f t="shared" si="32"/>
        <v>G*</v>
      </c>
      <c r="C107" s="13">
        <f t="shared" ref="C107:C113" si="45">E107/$D$105</f>
        <v>90462.074157726267</v>
      </c>
      <c r="D107" s="21"/>
      <c r="E107" s="13">
        <f>'Исходные данные'!$C$64*'Исходные данные'!$H$5</f>
        <v>200000</v>
      </c>
      <c r="F107" s="17">
        <f>(C8*D15+C17*D15+C26*D24+C35*D33+C44*D42+C53*D51+C62*D60+C71*D69+C80*D78+C89*D87)*'Исходные данные'!$E$5/12*3</f>
        <v>628782.89473684214</v>
      </c>
      <c r="G107" s="24"/>
      <c r="H107" s="25"/>
      <c r="I107" s="22"/>
      <c r="J107" s="13">
        <f t="shared" ref="J107:J113" si="46">C8+C17+C26+C35+C44+C53+C62+C71+C80+C89+C98+C107</f>
        <v>6956684.2646349473</v>
      </c>
      <c r="K107" s="21"/>
      <c r="L107" s="13">
        <f t="shared" ref="L107:L113" si="47">E8+E17+E26+E35+E44+E53+E62+E71+E80+E89+E98+E107</f>
        <v>2475000</v>
      </c>
      <c r="M107" s="21"/>
      <c r="N107" s="22"/>
    </row>
    <row r="108" spans="1:14" s="1" customFormat="1" x14ac:dyDescent="0.25">
      <c r="A108" s="14"/>
      <c r="B108" s="6" t="str">
        <f t="shared" si="32"/>
        <v>M*</v>
      </c>
      <c r="C108" s="13">
        <f t="shared" si="45"/>
        <v>54277.244494635765</v>
      </c>
      <c r="D108" s="21"/>
      <c r="E108" s="13">
        <f>'Исходные данные'!$C$64*'Исходные данные'!$H$6</f>
        <v>120000</v>
      </c>
      <c r="F108" s="17">
        <f>(C9*D15+C18*D15+C27*D24+C36*D33+C45*D42+C54*D51+C63*D60+C72*D69+C81*D78+C90*D87)*'Исходные данные'!$F$6/12*3</f>
        <v>754539.47368421056</v>
      </c>
      <c r="G108" s="24"/>
      <c r="H108" s="25"/>
      <c r="I108" s="22"/>
      <c r="J108" s="13">
        <f t="shared" si="46"/>
        <v>4174010.5587809687</v>
      </c>
      <c r="K108" s="21"/>
      <c r="L108" s="13">
        <f t="shared" si="47"/>
        <v>1485000</v>
      </c>
      <c r="M108" s="21"/>
      <c r="N108" s="22"/>
    </row>
    <row r="109" spans="1:14" s="1" customFormat="1" x14ac:dyDescent="0.25">
      <c r="A109" s="14"/>
      <c r="B109" s="17" t="str">
        <f t="shared" si="32"/>
        <v>F</v>
      </c>
      <c r="C109" s="13">
        <f t="shared" si="45"/>
        <v>18092.414831545255</v>
      </c>
      <c r="D109" s="21"/>
      <c r="E109" s="13">
        <f>'Исходные данные'!$C$64*'Исходные данные'!$H$7</f>
        <v>40000</v>
      </c>
      <c r="F109" s="17">
        <f>(C91*D87)*'Исходные данные'!$E$7/12*3</f>
        <v>20000</v>
      </c>
      <c r="G109" s="24"/>
      <c r="H109" s="25"/>
      <c r="I109" s="22"/>
      <c r="J109" s="13">
        <f t="shared" si="46"/>
        <v>1391336.8529269893</v>
      </c>
      <c r="K109" s="21"/>
      <c r="L109" s="13">
        <f t="shared" si="47"/>
        <v>495000</v>
      </c>
      <c r="M109" s="21"/>
      <c r="N109" s="22"/>
    </row>
    <row r="110" spans="1:14" s="1" customFormat="1" x14ac:dyDescent="0.25">
      <c r="A110" s="14"/>
      <c r="B110" s="6" t="str">
        <f t="shared" si="32"/>
        <v>С*</v>
      </c>
      <c r="C110" s="13">
        <f t="shared" si="45"/>
        <v>18092.414831545255</v>
      </c>
      <c r="D110" s="21"/>
      <c r="E110" s="13">
        <f>'Исходные данные'!$C$64*'Исходные данные'!$H$8</f>
        <v>40000</v>
      </c>
      <c r="F110" s="17">
        <f>(C11*D15+C20*D15+C29*D24+C38*D33+C47*D42+C56*D51+C65*D60+C74*D69+C83*D78+C92*D87)*'Исходные данные'!$E$8/12*3</f>
        <v>62878.289473684214</v>
      </c>
      <c r="G110" s="24"/>
      <c r="H110" s="25"/>
      <c r="I110" s="22"/>
      <c r="J110" s="13">
        <f t="shared" si="46"/>
        <v>1391336.8529269893</v>
      </c>
      <c r="K110" s="21"/>
      <c r="L110" s="13">
        <f t="shared" si="47"/>
        <v>495000</v>
      </c>
      <c r="M110" s="21"/>
      <c r="N110" s="22"/>
    </row>
    <row r="111" spans="1:14" s="1" customFormat="1" x14ac:dyDescent="0.25">
      <c r="A111" s="14"/>
      <c r="B111" s="17" t="str">
        <f t="shared" ref="B111:B142" si="48">B102</f>
        <v xml:space="preserve">I </v>
      </c>
      <c r="C111" s="13">
        <f t="shared" si="45"/>
        <v>18092.414831545255</v>
      </c>
      <c r="D111" s="21"/>
      <c r="E111" s="13">
        <f>'Исходные данные'!$C$64*'Исходные данные'!$H$9</f>
        <v>40000</v>
      </c>
      <c r="F111" s="17">
        <f>(C93*D87)*'Исходные данные'!$E$9/12*3</f>
        <v>0</v>
      </c>
      <c r="G111" s="24"/>
      <c r="H111" s="25"/>
      <c r="I111" s="22"/>
      <c r="J111" s="13">
        <f t="shared" si="46"/>
        <v>1391336.8529269893</v>
      </c>
      <c r="K111" s="21"/>
      <c r="L111" s="13">
        <f t="shared" si="47"/>
        <v>495000</v>
      </c>
      <c r="M111" s="21"/>
      <c r="N111" s="22"/>
    </row>
    <row r="112" spans="1:14" s="1" customFormat="1" x14ac:dyDescent="0.25">
      <c r="A112" s="14"/>
      <c r="B112" s="6" t="str">
        <f t="shared" si="48"/>
        <v>R*</v>
      </c>
      <c r="C112" s="13">
        <f t="shared" si="45"/>
        <v>36184.82966309051</v>
      </c>
      <c r="D112" s="21"/>
      <c r="E112" s="13">
        <f>'Исходные данные'!$C$64*'Исходные данные'!$H$10</f>
        <v>80000</v>
      </c>
      <c r="F112" s="17">
        <f>(C13*D15+C22*D15+C31*D24+C40*D33+C49*D42+C58*D51+C67*D60+C76*D69+C85*D78+C94*D87)*'Исходные данные'!$E$10/12*3</f>
        <v>125756.57894736843</v>
      </c>
      <c r="G112" s="24"/>
      <c r="H112" s="25"/>
      <c r="I112" s="22"/>
      <c r="J112" s="13">
        <f t="shared" si="46"/>
        <v>2782673.7058539786</v>
      </c>
      <c r="K112" s="21"/>
      <c r="L112" s="13">
        <f t="shared" si="47"/>
        <v>990000</v>
      </c>
      <c r="M112" s="21"/>
      <c r="N112" s="22"/>
    </row>
    <row r="113" spans="1:14" s="1" customFormat="1" x14ac:dyDescent="0.25">
      <c r="A113" s="14"/>
      <c r="B113" s="6" t="str">
        <f t="shared" si="48"/>
        <v>А*</v>
      </c>
      <c r="C113" s="13">
        <f t="shared" si="45"/>
        <v>18092.414831545255</v>
      </c>
      <c r="D113" s="21"/>
      <c r="E113" s="13">
        <f>'Исходные данные'!$C$64*'Исходные данные'!$H$11</f>
        <v>40000</v>
      </c>
      <c r="F113" s="17">
        <f>(C14*D15+C23*D15+C32*D24+C41*D33+C50*D42+C59*D51+C68*D60+C77*D69+C86*D78+C95*D87)*'Исходные данные'!$G$11/12*3</f>
        <v>62878.289473684214</v>
      </c>
      <c r="G113" s="24"/>
      <c r="H113" s="25"/>
      <c r="I113" s="22"/>
      <c r="J113" s="13">
        <f t="shared" si="46"/>
        <v>1391336.8529269893</v>
      </c>
      <c r="K113" s="21"/>
      <c r="L113" s="13">
        <f t="shared" si="47"/>
        <v>495000</v>
      </c>
      <c r="M113" s="21"/>
      <c r="N113" s="22"/>
    </row>
    <row r="114" spans="1:14" s="1" customFormat="1" x14ac:dyDescent="0.25">
      <c r="A114" s="19" t="s">
        <v>33</v>
      </c>
      <c r="B114" s="4" t="str">
        <f t="shared" si="48"/>
        <v>ВСЕГО:</v>
      </c>
      <c r="C114" s="15">
        <f>SUM(C115:C122)</f>
        <v>338768.11594202882</v>
      </c>
      <c r="D114" s="25">
        <f>'Исходные данные'!E65</f>
        <v>2.3614973262032097</v>
      </c>
      <c r="E114" s="15">
        <f>SUM(E115:E122)</f>
        <v>800000</v>
      </c>
      <c r="F114" s="15">
        <f>SUM(F115:F122)</f>
        <v>1904835.5263157894</v>
      </c>
      <c r="G114" s="23">
        <f>SUM(F115:F122)</f>
        <v>1904835.5263157894</v>
      </c>
      <c r="H114" s="25">
        <f>G114/(C6+C15+C24+C33+C42+C51+C60+C69+C78+C87+C96)</f>
        <v>6.9355297333576316E-2</v>
      </c>
      <c r="I114" s="22">
        <f>H114/D114/3*12</f>
        <v>0.11747681704147431</v>
      </c>
      <c r="J114" s="15">
        <f>SUM(J115:J122)</f>
        <v>28165505.174481813</v>
      </c>
      <c r="K114" s="25">
        <f>L114/J114</f>
        <v>0.37989732240607177</v>
      </c>
      <c r="L114" s="15">
        <f>SUM(L115:L122)</f>
        <v>10700000</v>
      </c>
      <c r="M114" s="21">
        <f>(G6+G15+G24+G33+G42+G51+G60+G69+G78+G87+G96+G105+G114)/J114</f>
        <v>0.404313036478748</v>
      </c>
      <c r="N114" s="22">
        <f t="shared" ref="N114" si="49">M114/K114/3*12</f>
        <v>4.2570769798327595</v>
      </c>
    </row>
    <row r="115" spans="1:14" s="1" customFormat="1" x14ac:dyDescent="0.25">
      <c r="A115" s="14"/>
      <c r="B115" s="17" t="str">
        <f t="shared" si="48"/>
        <v>V</v>
      </c>
      <c r="C115" s="13">
        <f t="shared" ref="C115:C122" si="50">E115/$D$114</f>
        <v>101630.43478260865</v>
      </c>
      <c r="D115" s="21"/>
      <c r="E115" s="13">
        <f>'Исходные данные'!$C$65*'Исходные данные'!$H$4</f>
        <v>240000</v>
      </c>
      <c r="F115" s="17">
        <f>(C97*D96)*'Исходные данные'!$E$4/12*3</f>
        <v>120000</v>
      </c>
      <c r="G115" s="24"/>
      <c r="H115" s="25"/>
      <c r="I115" s="22"/>
      <c r="J115" s="13">
        <f>C7+C16+C25+C34+C43+C52+C61+C70+C79+C88+C97+C106+C115</f>
        <v>8449651.5523445457</v>
      </c>
      <c r="K115" s="21"/>
      <c r="L115" s="13">
        <f>E7+E16+E25+E34+E43+E52+E61+E70+E79+E88+E97+E106+E115</f>
        <v>3210000</v>
      </c>
      <c r="M115" s="21"/>
      <c r="N115" s="22"/>
    </row>
    <row r="116" spans="1:14" s="1" customFormat="1" x14ac:dyDescent="0.25">
      <c r="A116" s="14"/>
      <c r="B116" s="6" t="str">
        <f t="shared" si="48"/>
        <v>G*</v>
      </c>
      <c r="C116" s="13">
        <f t="shared" si="50"/>
        <v>84692.028985507204</v>
      </c>
      <c r="D116" s="21"/>
      <c r="E116" s="13">
        <f>'Исходные данные'!$C$65*'Исходные данные'!$H$5</f>
        <v>200000</v>
      </c>
      <c r="F116" s="17">
        <f>(C8*D15+C17*D15+C26*D24+C35*D33+C44*D42+C53*D51+C62*D60+C71*D69+C80*D78+C89*D87+C98*D96)*'Исходные данные'!$E$5/12*3</f>
        <v>678782.89473684214</v>
      </c>
      <c r="G116" s="24"/>
      <c r="H116" s="25"/>
      <c r="I116" s="22"/>
      <c r="J116" s="13">
        <f t="shared" ref="J116:J122" si="51">C8+C17+C26+C35+C44+C53+C62+C71+C80+C89+C98+C107+C116</f>
        <v>7041376.2936204541</v>
      </c>
      <c r="K116" s="21"/>
      <c r="L116" s="13">
        <f t="shared" ref="L116:L122" si="52">E8+E17+E26+E35+E44+E53+E62+E71+E80+E89+E98+E107+E116</f>
        <v>2675000</v>
      </c>
      <c r="M116" s="21"/>
      <c r="N116" s="22"/>
    </row>
    <row r="117" spans="1:14" s="1" customFormat="1" x14ac:dyDescent="0.25">
      <c r="A117" s="14"/>
      <c r="B117" s="6" t="str">
        <f t="shared" si="48"/>
        <v>M*</v>
      </c>
      <c r="C117" s="13">
        <f t="shared" si="50"/>
        <v>50815.217391304323</v>
      </c>
      <c r="D117" s="21"/>
      <c r="E117" s="13">
        <f>'Исходные данные'!$C$65*'Исходные данные'!$H$6</f>
        <v>120000</v>
      </c>
      <c r="F117" s="17">
        <f>(C9*D15+C18*D15+C27*D24+C36*D33+C45*D42+C54*D51+C63*D60+C72*D69+C81*D78+C90*D87+C99*D96)*'Исходные данные'!$F$6/12*3</f>
        <v>814539.47368421056</v>
      </c>
      <c r="G117" s="24"/>
      <c r="H117" s="25"/>
      <c r="I117" s="22"/>
      <c r="J117" s="13">
        <f t="shared" si="51"/>
        <v>4224825.7761722729</v>
      </c>
      <c r="K117" s="21"/>
      <c r="L117" s="13">
        <f t="shared" si="52"/>
        <v>1605000</v>
      </c>
      <c r="M117" s="21"/>
      <c r="N117" s="22"/>
    </row>
    <row r="118" spans="1:14" s="1" customFormat="1" x14ac:dyDescent="0.25">
      <c r="A118" s="14"/>
      <c r="B118" s="17" t="str">
        <f t="shared" si="48"/>
        <v>F</v>
      </c>
      <c r="C118" s="13">
        <f t="shared" si="50"/>
        <v>16938.405797101441</v>
      </c>
      <c r="D118" s="21"/>
      <c r="E118" s="13">
        <f>'Исходные данные'!$C$65*'Исходные данные'!$H$7</f>
        <v>40000</v>
      </c>
      <c r="F118" s="17">
        <f>(C100*D96)*'Исходные данные'!$E$7/12*3</f>
        <v>20000</v>
      </c>
      <c r="G118" s="24"/>
      <c r="H118" s="25"/>
      <c r="I118" s="22"/>
      <c r="J118" s="13">
        <f t="shared" si="51"/>
        <v>1408275.2587240906</v>
      </c>
      <c r="K118" s="21"/>
      <c r="L118" s="13">
        <f t="shared" si="52"/>
        <v>535000</v>
      </c>
      <c r="M118" s="21"/>
      <c r="N118" s="22"/>
    </row>
    <row r="119" spans="1:14" s="1" customFormat="1" x14ac:dyDescent="0.25">
      <c r="A119" s="14"/>
      <c r="B119" s="6" t="str">
        <f t="shared" si="48"/>
        <v>С*</v>
      </c>
      <c r="C119" s="13">
        <f t="shared" si="50"/>
        <v>16938.405797101441</v>
      </c>
      <c r="D119" s="21"/>
      <c r="E119" s="13">
        <f>'Исходные данные'!$C$65*'Исходные данные'!$H$8</f>
        <v>40000</v>
      </c>
      <c r="F119" s="17">
        <f>(C11*D15+C20*D15+C29*D24+C38*D33+C47*D42+C56*D51+C65*D60+C74*D69+C83*D78+C92*D87+C101*D96)*'Исходные данные'!$E$8/12*3</f>
        <v>67878.289473684214</v>
      </c>
      <c r="G119" s="24"/>
      <c r="H119" s="25"/>
      <c r="I119" s="22"/>
      <c r="J119" s="13">
        <f t="shared" si="51"/>
        <v>1408275.2587240906</v>
      </c>
      <c r="K119" s="21"/>
      <c r="L119" s="13">
        <f t="shared" si="52"/>
        <v>535000</v>
      </c>
      <c r="M119" s="21"/>
      <c r="N119" s="22"/>
    </row>
    <row r="120" spans="1:14" s="1" customFormat="1" x14ac:dyDescent="0.25">
      <c r="A120" s="14"/>
      <c r="B120" s="17" t="str">
        <f t="shared" si="48"/>
        <v xml:space="preserve">I </v>
      </c>
      <c r="C120" s="13">
        <f t="shared" si="50"/>
        <v>16938.405797101441</v>
      </c>
      <c r="D120" s="21"/>
      <c r="E120" s="13">
        <f>'Исходные данные'!$C$65*'Исходные данные'!$H$9</f>
        <v>40000</v>
      </c>
      <c r="F120" s="17">
        <f>(C102*D96)*'Исходные данные'!$E$9/12*3</f>
        <v>0</v>
      </c>
      <c r="G120" s="24"/>
      <c r="H120" s="25"/>
      <c r="I120" s="22"/>
      <c r="J120" s="13">
        <f t="shared" si="51"/>
        <v>1408275.2587240906</v>
      </c>
      <c r="K120" s="21"/>
      <c r="L120" s="13">
        <f t="shared" si="52"/>
        <v>535000</v>
      </c>
      <c r="M120" s="21"/>
      <c r="N120" s="22"/>
    </row>
    <row r="121" spans="1:14" s="1" customFormat="1" x14ac:dyDescent="0.25">
      <c r="A121" s="14"/>
      <c r="B121" s="6" t="str">
        <f t="shared" si="48"/>
        <v>R*</v>
      </c>
      <c r="C121" s="13">
        <f t="shared" si="50"/>
        <v>33876.811594202882</v>
      </c>
      <c r="D121" s="21"/>
      <c r="E121" s="13">
        <f>'Исходные данные'!$C$65*'Исходные данные'!$H$10</f>
        <v>80000</v>
      </c>
      <c r="F121" s="17">
        <f>(C13*D15+C22*D15+C31*D24+C40*D33+C49*D42+C58*D51+C67*D60+C76*D69+C85*D78+C94*D87+C103*D96)*'Исходные данные'!$E$10/12*3</f>
        <v>135756.57894736843</v>
      </c>
      <c r="G121" s="24"/>
      <c r="H121" s="25"/>
      <c r="I121" s="22"/>
      <c r="J121" s="13">
        <f t="shared" si="51"/>
        <v>2816550.5174481813</v>
      </c>
      <c r="K121" s="21"/>
      <c r="L121" s="13">
        <f t="shared" si="52"/>
        <v>1070000</v>
      </c>
      <c r="M121" s="21"/>
      <c r="N121" s="22"/>
    </row>
    <row r="122" spans="1:14" s="1" customFormat="1" x14ac:dyDescent="0.25">
      <c r="A122" s="14"/>
      <c r="B122" s="6" t="str">
        <f t="shared" si="48"/>
        <v>А*</v>
      </c>
      <c r="C122" s="13">
        <f t="shared" si="50"/>
        <v>16938.405797101441</v>
      </c>
      <c r="D122" s="21"/>
      <c r="E122" s="13">
        <f>'Исходные данные'!$C$65*'Исходные данные'!$H$11</f>
        <v>40000</v>
      </c>
      <c r="F122" s="17">
        <f>(C14*D15+C23*D15+C32*D24+C41*D33+C50*D42+C59*D51+C68*D60+C77*D69+C86*D78+C95*D87+C104*D96)*'Исходные данные'!$G$11/12*3</f>
        <v>67878.289473684214</v>
      </c>
      <c r="G122" s="24"/>
      <c r="H122" s="25"/>
      <c r="I122" s="22"/>
      <c r="J122" s="13">
        <f t="shared" si="51"/>
        <v>1408275.2587240906</v>
      </c>
      <c r="K122" s="21"/>
      <c r="L122" s="13">
        <f t="shared" si="52"/>
        <v>535000</v>
      </c>
      <c r="M122" s="21"/>
      <c r="N122" s="22"/>
    </row>
    <row r="123" spans="1:14" s="1" customFormat="1" x14ac:dyDescent="0.25">
      <c r="A123" s="19" t="s">
        <v>34</v>
      </c>
      <c r="B123" s="4" t="str">
        <f t="shared" si="48"/>
        <v>ВСЕГО:</v>
      </c>
      <c r="C123" s="15">
        <f>SUM(C124:C131)</f>
        <v>315384.6153846152</v>
      </c>
      <c r="D123" s="25">
        <f>'Исходные данные'!E66</f>
        <v>2.5365853658536599</v>
      </c>
      <c r="E123" s="15">
        <f>SUM(E124:E131)</f>
        <v>800000</v>
      </c>
      <c r="F123" s="15">
        <f>SUM(F124:F131)</f>
        <v>2034835.5263157894</v>
      </c>
      <c r="G123" s="23">
        <f>SUM(F124:F131)</f>
        <v>2034835.5263157894</v>
      </c>
      <c r="H123" s="25">
        <f>G123/(C6+C15+C24+C33+C42+C51+C60+C69+C78+C87+C96+C105)</f>
        <v>7.3125193300064464E-2</v>
      </c>
      <c r="I123" s="22">
        <f>H123/D123/3*12</f>
        <v>0.11531280481933236</v>
      </c>
      <c r="J123" s="15">
        <f>SUM(J124:J131)</f>
        <v>28480889.789866433</v>
      </c>
      <c r="K123" s="25">
        <f>L123/J123</f>
        <v>0.40377951970067055</v>
      </c>
      <c r="L123" s="15">
        <f>SUM(L124:L131)</f>
        <v>11500000</v>
      </c>
      <c r="M123" s="21">
        <f>(G6+G15+G24+G33+G42+G51+G60+G69+G78+G87+G96+G105+G114+G123)/J123</f>
        <v>0.47128149950371928</v>
      </c>
      <c r="N123" s="22">
        <f t="shared" ref="N123" si="53">M123/K123/3*12</f>
        <v>4.6687013729977114</v>
      </c>
    </row>
    <row r="124" spans="1:14" s="1" customFormat="1" x14ac:dyDescent="0.25">
      <c r="A124" s="14"/>
      <c r="B124" s="17" t="str">
        <f t="shared" si="48"/>
        <v>V</v>
      </c>
      <c r="C124" s="13">
        <f>E124/$D$123</f>
        <v>94615.384615384566</v>
      </c>
      <c r="D124" s="21"/>
      <c r="E124" s="13">
        <f>'Исходные данные'!$C$66*'Исходные данные'!$H$4</f>
        <v>240000</v>
      </c>
      <c r="F124" s="17">
        <f>(C106*D105)*'Исходные данные'!$E$4/12*3</f>
        <v>120000</v>
      </c>
      <c r="G124" s="24"/>
      <c r="H124" s="25"/>
      <c r="I124" s="22"/>
      <c r="J124" s="13">
        <f>C7+C16+C25+C34+C43+C52+C61+C70+C79+C88+C97+C106+C115+C124</f>
        <v>8544266.9369599298</v>
      </c>
      <c r="K124" s="21"/>
      <c r="L124" s="13">
        <f>E7+E16+E25+E34+E43+E52+E61+E70+E79+E88+E97+E106+E115+E124</f>
        <v>3450000</v>
      </c>
      <c r="M124" s="21"/>
      <c r="N124" s="22"/>
    </row>
    <row r="125" spans="1:14" s="1" customFormat="1" x14ac:dyDescent="0.25">
      <c r="A125" s="14"/>
      <c r="B125" s="6" t="str">
        <f t="shared" si="48"/>
        <v>G*</v>
      </c>
      <c r="C125" s="13">
        <f t="shared" ref="C125:C131" si="54">E125/$D$123</f>
        <v>78846.1538461538</v>
      </c>
      <c r="D125" s="21"/>
      <c r="E125" s="13">
        <f>'Исходные данные'!$C$66*'Исходные данные'!$H$5</f>
        <v>200000</v>
      </c>
      <c r="F125" s="17">
        <f>(C8*D15+C17*D15+C26*D24+C35*D33+C44*D42+C53*D51+C62*D60+C71*D69+C80*D78+C89*D87+C98*D96+C107*D105)*'Исходные данные'!$E$5/12*3</f>
        <v>728782.89473684214</v>
      </c>
      <c r="G125" s="24"/>
      <c r="H125" s="25"/>
      <c r="I125" s="22"/>
      <c r="J125" s="13">
        <f t="shared" ref="J125:J131" si="55">C8+C17+C26+C35+C44+C53+C62+C71+C80+C89+C98+C107+C116+C125</f>
        <v>7120222.4474666081</v>
      </c>
      <c r="K125" s="21"/>
      <c r="L125" s="13">
        <f t="shared" ref="L125:L131" si="56">E8+E17+E26+E35+E44+E53+E62+E71+E80+E89+E98+E107+E116+E125</f>
        <v>2875000</v>
      </c>
      <c r="M125" s="21"/>
      <c r="N125" s="22"/>
    </row>
    <row r="126" spans="1:14" s="1" customFormat="1" x14ac:dyDescent="0.25">
      <c r="A126" s="14"/>
      <c r="B126" s="6" t="str">
        <f t="shared" si="48"/>
        <v>M*</v>
      </c>
      <c r="C126" s="13">
        <f t="shared" si="54"/>
        <v>47307.692307692283</v>
      </c>
      <c r="D126" s="21"/>
      <c r="E126" s="13">
        <f>'Исходные данные'!$C$66*'Исходные данные'!$H$6</f>
        <v>120000</v>
      </c>
      <c r="F126" s="17">
        <f>(C9*D15+C18*D15+C27*D24+C36*D33+C45*D42+C54*D51+C63*D60+C72*D69+C81*D78+C90*D87+C99*D96+C108*D105)*'Исходные данные'!$F$6/12*3</f>
        <v>874539.47368421056</v>
      </c>
      <c r="G126" s="24"/>
      <c r="H126" s="25"/>
      <c r="I126" s="22"/>
      <c r="J126" s="13">
        <f t="shared" si="55"/>
        <v>4272133.4684799649</v>
      </c>
      <c r="K126" s="21"/>
      <c r="L126" s="13">
        <f t="shared" si="56"/>
        <v>1725000</v>
      </c>
      <c r="M126" s="21"/>
      <c r="N126" s="22"/>
    </row>
    <row r="127" spans="1:14" s="1" customFormat="1" x14ac:dyDescent="0.25">
      <c r="A127" s="14"/>
      <c r="B127" s="17" t="str">
        <f t="shared" si="48"/>
        <v>F</v>
      </c>
      <c r="C127" s="13">
        <f t="shared" si="54"/>
        <v>15769.23076923076</v>
      </c>
      <c r="D127" s="21"/>
      <c r="E127" s="13">
        <f>'Исходные данные'!$C$66*'Исходные данные'!$H$7</f>
        <v>40000</v>
      </c>
      <c r="F127" s="17">
        <f>(C109*D105)*'Исходные данные'!$E$7/12*3</f>
        <v>20000</v>
      </c>
      <c r="G127" s="24"/>
      <c r="H127" s="25"/>
      <c r="I127" s="22"/>
      <c r="J127" s="13">
        <f t="shared" si="55"/>
        <v>1424044.4894933214</v>
      </c>
      <c r="K127" s="21"/>
      <c r="L127" s="13">
        <f t="shared" si="56"/>
        <v>575000</v>
      </c>
      <c r="M127" s="21"/>
      <c r="N127" s="22"/>
    </row>
    <row r="128" spans="1:14" s="1" customFormat="1" x14ac:dyDescent="0.25">
      <c r="A128" s="14"/>
      <c r="B128" s="6" t="str">
        <f t="shared" si="48"/>
        <v>С*</v>
      </c>
      <c r="C128" s="13">
        <f t="shared" si="54"/>
        <v>15769.23076923076</v>
      </c>
      <c r="D128" s="21"/>
      <c r="E128" s="13">
        <f>'Исходные данные'!$C$66*'Исходные данные'!$H$8</f>
        <v>40000</v>
      </c>
      <c r="F128" s="17">
        <f>(C11*D15+C20*D15+C29*D24+C38*D33+C47*D42+C56*D51+C65*D60+C74*D69+C83*D78+C92*D87+C101*D96+C110*D105)*'Исходные данные'!$E$8/12*3</f>
        <v>72878.289473684214</v>
      </c>
      <c r="G128" s="24"/>
      <c r="H128" s="25"/>
      <c r="I128" s="22"/>
      <c r="J128" s="13">
        <f t="shared" si="55"/>
        <v>1424044.4894933214</v>
      </c>
      <c r="K128" s="21"/>
      <c r="L128" s="13">
        <f t="shared" si="56"/>
        <v>575000</v>
      </c>
      <c r="M128" s="21"/>
      <c r="N128" s="22"/>
    </row>
    <row r="129" spans="1:14" s="1" customFormat="1" x14ac:dyDescent="0.25">
      <c r="A129" s="14"/>
      <c r="B129" s="17" t="str">
        <f t="shared" si="48"/>
        <v xml:space="preserve">I </v>
      </c>
      <c r="C129" s="13">
        <f t="shared" si="54"/>
        <v>15769.23076923076</v>
      </c>
      <c r="D129" s="21"/>
      <c r="E129" s="13">
        <f>'Исходные данные'!$C$66*'Исходные данные'!$H$9</f>
        <v>40000</v>
      </c>
      <c r="F129" s="17">
        <f>(C111*D105)*'Исходные данные'!$E$9/12*3</f>
        <v>0</v>
      </c>
      <c r="G129" s="24"/>
      <c r="H129" s="25"/>
      <c r="I129" s="22"/>
      <c r="J129" s="13">
        <f t="shared" si="55"/>
        <v>1424044.4894933214</v>
      </c>
      <c r="K129" s="21"/>
      <c r="L129" s="13">
        <f t="shared" si="56"/>
        <v>575000</v>
      </c>
      <c r="M129" s="21"/>
      <c r="N129" s="22"/>
    </row>
    <row r="130" spans="1:14" s="1" customFormat="1" x14ac:dyDescent="0.25">
      <c r="A130" s="14"/>
      <c r="B130" s="6" t="str">
        <f t="shared" si="48"/>
        <v>R*</v>
      </c>
      <c r="C130" s="13">
        <f t="shared" si="54"/>
        <v>31538.461538461521</v>
      </c>
      <c r="D130" s="21"/>
      <c r="E130" s="13">
        <f>'Исходные данные'!$C$66*'Исходные данные'!$H$10</f>
        <v>80000</v>
      </c>
      <c r="F130" s="17">
        <f>(C13*D15+C22*D15+C31*D24+C40*D33+C49*D42+C58*D51+C67*D60+C76*D69+C85*D78+C94*D87+C103*D96+C112*D105)*'Исходные данные'!$E$10/12*3</f>
        <v>145756.57894736843</v>
      </c>
      <c r="G130" s="24"/>
      <c r="H130" s="25"/>
      <c r="I130" s="22"/>
      <c r="J130" s="13">
        <f t="shared" si="55"/>
        <v>2848088.9789866428</v>
      </c>
      <c r="K130" s="21"/>
      <c r="L130" s="13">
        <f t="shared" si="56"/>
        <v>1150000</v>
      </c>
      <c r="M130" s="21"/>
      <c r="N130" s="22"/>
    </row>
    <row r="131" spans="1:14" s="1" customFormat="1" x14ac:dyDescent="0.25">
      <c r="A131" s="14"/>
      <c r="B131" s="6" t="str">
        <f t="shared" si="48"/>
        <v>А*</v>
      </c>
      <c r="C131" s="13">
        <f t="shared" si="54"/>
        <v>15769.23076923076</v>
      </c>
      <c r="D131" s="21"/>
      <c r="E131" s="13">
        <f>'Исходные данные'!$C$66*'Исходные данные'!$H$11</f>
        <v>40000</v>
      </c>
      <c r="F131" s="17">
        <f>(C14*D15+C23*D15+C32*D24+C41*D33+C50*D42+C59*D51+C68*D60+C77*D69+C86*D78+C95*D87+C104*D96+C113*D105)*'Исходные данные'!$G$11/12*3</f>
        <v>72878.289473684214</v>
      </c>
      <c r="G131" s="24"/>
      <c r="H131" s="25"/>
      <c r="I131" s="22"/>
      <c r="J131" s="13">
        <f t="shared" si="55"/>
        <v>1424044.4894933214</v>
      </c>
      <c r="K131" s="21"/>
      <c r="L131" s="13">
        <f t="shared" si="56"/>
        <v>575000</v>
      </c>
      <c r="M131" s="21"/>
      <c r="N131" s="22"/>
    </row>
    <row r="132" spans="1:14" s="1" customFormat="1" x14ac:dyDescent="0.25">
      <c r="A132" s="19" t="s">
        <v>35</v>
      </c>
      <c r="B132" s="4" t="str">
        <f t="shared" si="48"/>
        <v>ВСЕГО:</v>
      </c>
      <c r="C132" s="15">
        <f>SUM(C133:C140)</f>
        <v>262108.26210826193</v>
      </c>
      <c r="D132" s="25">
        <f>'Исходные данные'!E67</f>
        <v>2.6706521739130449</v>
      </c>
      <c r="E132" s="15">
        <f>SUM(E133:E140)</f>
        <v>700000</v>
      </c>
      <c r="F132" s="15">
        <f>SUM(F133:F140)</f>
        <v>2164835.5263157892</v>
      </c>
      <c r="G132" s="23">
        <f>SUM(F133:F140)</f>
        <v>2164835.5263157892</v>
      </c>
      <c r="H132" s="25">
        <f>G132/(C6+C15+C24+C33+C42+C51+C60+C69+C78+C87+C96+C105+C114)</f>
        <v>7.6861235504383868E-2</v>
      </c>
      <c r="I132" s="22">
        <f>H132/D132/3*12</f>
        <v>0.11511979920884513</v>
      </c>
      <c r="J132" s="15">
        <f>SUM(J133:J140)</f>
        <v>28742998.051974695</v>
      </c>
      <c r="K132" s="25">
        <f>L132/J132</f>
        <v>0.42445119948654203</v>
      </c>
      <c r="L132" s="15">
        <f>SUM(L133:L140)</f>
        <v>12200000</v>
      </c>
      <c r="M132" s="21">
        <f>(G6+G15+G24+G33+G42+G51+G60+G69+G78+G87+G96+G105+G114+G123+G132)/J132</f>
        <v>0.54230083951222796</v>
      </c>
      <c r="N132" s="22">
        <f t="shared" ref="N132" si="57">M132/K132/3*12</f>
        <v>5.1106072044866258</v>
      </c>
    </row>
    <row r="133" spans="1:14" s="1" customFormat="1" x14ac:dyDescent="0.25">
      <c r="A133" s="14"/>
      <c r="B133" s="17" t="str">
        <f t="shared" si="48"/>
        <v>V</v>
      </c>
      <c r="C133" s="13">
        <f>E133/$D$132</f>
        <v>78632.478632478596</v>
      </c>
      <c r="D133" s="21"/>
      <c r="E133" s="13">
        <f>'Исходные данные'!$C$67*'Исходные данные'!$H$4</f>
        <v>210000</v>
      </c>
      <c r="F133" s="17">
        <f>(C115*D114)*'Исходные данные'!$E$4/12*3</f>
        <v>120000</v>
      </c>
      <c r="G133" s="24"/>
      <c r="H133" s="25"/>
      <c r="I133" s="22"/>
      <c r="J133" s="13">
        <f>C7+C16+C25+C34+C43+C52+C61+C70+C79+C88+C97+C106+C115+C124+C133</f>
        <v>8622899.4155924078</v>
      </c>
      <c r="K133" s="21"/>
      <c r="L133" s="13">
        <f>E7+E16+E25+E34+E43+E52+E61+E70+E79+E88+E97+E106+E115+E124+E133</f>
        <v>3660000</v>
      </c>
      <c r="M133" s="21"/>
      <c r="N133" s="22"/>
    </row>
    <row r="134" spans="1:14" s="1" customFormat="1" x14ac:dyDescent="0.25">
      <c r="A134" s="14"/>
      <c r="B134" s="6" t="str">
        <f t="shared" si="48"/>
        <v>G*</v>
      </c>
      <c r="C134" s="13">
        <f t="shared" ref="C134:C140" si="58">E134/$D$132</f>
        <v>65527.06552706549</v>
      </c>
      <c r="D134" s="21"/>
      <c r="E134" s="13">
        <f>'Исходные данные'!$C$67*'Исходные данные'!$H$5</f>
        <v>175000</v>
      </c>
      <c r="F134" s="17">
        <f>(C8*D15+C17*D15+C26*D24+C35*D33+C44*D42+C53*D51+C62*D60+C71*D69+C80*D78+C89*D87+C98*D96+C107*D105+C116*D114)*'Исходные данные'!$E$5/12*3</f>
        <v>778782.89473684214</v>
      </c>
      <c r="G134" s="24"/>
      <c r="H134" s="25"/>
      <c r="I134" s="22"/>
      <c r="J134" s="13">
        <f t="shared" ref="J134:J140" si="59">C8+C17+C26+C35+C44+C53+C62+C71+C80+C89+C98+C107+C116+C125+C134</f>
        <v>7185749.5129936738</v>
      </c>
      <c r="K134" s="21"/>
      <c r="L134" s="13">
        <f t="shared" ref="L134:L139" si="60">E8+E17+E26+E35+E44+E53+E62+E71+E80+E89+E98+E107+E116+E125+E134</f>
        <v>3050000</v>
      </c>
      <c r="M134" s="21"/>
      <c r="N134" s="22"/>
    </row>
    <row r="135" spans="1:14" s="1" customFormat="1" x14ac:dyDescent="0.25">
      <c r="A135" s="14"/>
      <c r="B135" s="6" t="str">
        <f t="shared" si="48"/>
        <v>M*</v>
      </c>
      <c r="C135" s="13">
        <f t="shared" si="58"/>
        <v>39316.239316239298</v>
      </c>
      <c r="D135" s="21"/>
      <c r="E135" s="13">
        <f>'Исходные данные'!$C$67*'Исходные данные'!$H$6</f>
        <v>105000</v>
      </c>
      <c r="F135" s="17">
        <f>(C9*D15+C18*D15+C27*D24+C36*D33+C45*D42+C54*D51+C63*D60+C72*D69+C81*D78+C90*D87+C99*D96+C108*D105+C117*D114)*'Исходные данные'!$F$6/12*3</f>
        <v>934539.47368421056</v>
      </c>
      <c r="G135" s="24"/>
      <c r="H135" s="25"/>
      <c r="I135" s="22"/>
      <c r="J135" s="13">
        <f t="shared" si="59"/>
        <v>4311449.7077962039</v>
      </c>
      <c r="K135" s="21"/>
      <c r="L135" s="13">
        <f t="shared" si="60"/>
        <v>1830000</v>
      </c>
      <c r="M135" s="21"/>
      <c r="N135" s="22"/>
    </row>
    <row r="136" spans="1:14" s="1" customFormat="1" x14ac:dyDescent="0.25">
      <c r="A136" s="14"/>
      <c r="B136" s="17" t="str">
        <f t="shared" si="48"/>
        <v>F</v>
      </c>
      <c r="C136" s="13">
        <f t="shared" si="58"/>
        <v>13105.413105413099</v>
      </c>
      <c r="D136" s="21"/>
      <c r="E136" s="13">
        <f>'Исходные данные'!$C$67*'Исходные данные'!$H$7</f>
        <v>35000</v>
      </c>
      <c r="F136" s="17">
        <f>(C118*D114)*'Исходные данные'!$E$7/12*3</f>
        <v>20000</v>
      </c>
      <c r="G136" s="24"/>
      <c r="H136" s="25"/>
      <c r="I136" s="22"/>
      <c r="J136" s="13">
        <f t="shared" si="59"/>
        <v>1437149.9025987345</v>
      </c>
      <c r="K136" s="21"/>
      <c r="L136" s="13">
        <f t="shared" si="60"/>
        <v>610000</v>
      </c>
      <c r="M136" s="21"/>
      <c r="N136" s="22"/>
    </row>
    <row r="137" spans="1:14" s="1" customFormat="1" x14ac:dyDescent="0.25">
      <c r="A137" s="14"/>
      <c r="B137" s="6" t="str">
        <f t="shared" si="48"/>
        <v>С*</v>
      </c>
      <c r="C137" s="13">
        <f t="shared" si="58"/>
        <v>13105.413105413099</v>
      </c>
      <c r="D137" s="21"/>
      <c r="E137" s="13">
        <f>'Исходные данные'!$C$67*'Исходные данные'!$H$8</f>
        <v>35000</v>
      </c>
      <c r="F137" s="17">
        <f>(C11*D15+C20*D15+C29*D24+C38*D33+C47*D42+C56*D51+C65*D60+C74*D69+C83*D78+C92*D87+C101*D96+C110*D105+C119*D114)*'Исходные данные'!$E$8/12*3</f>
        <v>77878.289473684214</v>
      </c>
      <c r="G137" s="24"/>
      <c r="H137" s="25"/>
      <c r="I137" s="22"/>
      <c r="J137" s="13">
        <f t="shared" si="59"/>
        <v>1437149.9025987345</v>
      </c>
      <c r="K137" s="21"/>
      <c r="L137" s="13">
        <f t="shared" si="60"/>
        <v>610000</v>
      </c>
      <c r="M137" s="21"/>
      <c r="N137" s="22"/>
    </row>
    <row r="138" spans="1:14" s="1" customFormat="1" x14ac:dyDescent="0.25">
      <c r="A138" s="14"/>
      <c r="B138" s="17" t="str">
        <f t="shared" si="48"/>
        <v xml:space="preserve">I </v>
      </c>
      <c r="C138" s="13">
        <f t="shared" si="58"/>
        <v>13105.413105413099</v>
      </c>
      <c r="D138" s="21"/>
      <c r="E138" s="13">
        <f>'Исходные данные'!$C$67*'Исходные данные'!$H$9</f>
        <v>35000</v>
      </c>
      <c r="F138" s="17">
        <f>(C120*D114)*'Исходные данные'!$E$9/12*3</f>
        <v>0</v>
      </c>
      <c r="G138" s="24"/>
      <c r="H138" s="25"/>
      <c r="I138" s="22"/>
      <c r="J138" s="13">
        <f t="shared" si="59"/>
        <v>1437149.9025987345</v>
      </c>
      <c r="K138" s="21"/>
      <c r="L138" s="13">
        <f t="shared" si="60"/>
        <v>610000</v>
      </c>
      <c r="M138" s="21"/>
      <c r="N138" s="22"/>
    </row>
    <row r="139" spans="1:14" s="1" customFormat="1" x14ac:dyDescent="0.25">
      <c r="A139" s="14"/>
      <c r="B139" s="6" t="str">
        <f t="shared" si="48"/>
        <v>R*</v>
      </c>
      <c r="C139" s="13">
        <f t="shared" si="58"/>
        <v>26210.826210826199</v>
      </c>
      <c r="D139" s="21"/>
      <c r="E139" s="13">
        <f>'Исходные данные'!$C$67*'Исходные данные'!$H$10</f>
        <v>70000</v>
      </c>
      <c r="F139" s="17">
        <f>(C13*D15+C22*D15+C31*D24+C40*D33+C49*D42+C58*D51+C67*D60+C76*D69+C85*D78+C94*D87+C103*D96+C112*D105+C121*D114)*'Исходные данные'!$E$10/12*3</f>
        <v>155756.57894736843</v>
      </c>
      <c r="G139" s="24"/>
      <c r="H139" s="25"/>
      <c r="I139" s="22"/>
      <c r="J139" s="13">
        <f t="shared" si="59"/>
        <v>2874299.805197469</v>
      </c>
      <c r="K139" s="21"/>
      <c r="L139" s="13">
        <f t="shared" si="60"/>
        <v>1220000</v>
      </c>
      <c r="M139" s="21"/>
      <c r="N139" s="22"/>
    </row>
    <row r="140" spans="1:14" s="1" customFormat="1" x14ac:dyDescent="0.25">
      <c r="A140" s="14"/>
      <c r="B140" s="6" t="str">
        <f t="shared" si="48"/>
        <v>А*</v>
      </c>
      <c r="C140" s="13">
        <f t="shared" si="58"/>
        <v>13105.413105413099</v>
      </c>
      <c r="D140" s="21"/>
      <c r="E140" s="13">
        <f>'Исходные данные'!$C$67*'Исходные данные'!$H$11</f>
        <v>35000</v>
      </c>
      <c r="F140" s="17">
        <f>(C14*D15+C23*D15+C32*D24+C41*D33+C50*D42+C59*D51+C68*D60+C77*D69+C86*D78+C95*D87+C104*D96+C113*D105+C122*D114)*'Исходные данные'!$G$11/12*3</f>
        <v>77878.289473684214</v>
      </c>
      <c r="G140" s="24"/>
      <c r="H140" s="25"/>
      <c r="I140" s="22"/>
      <c r="J140" s="13">
        <f t="shared" si="59"/>
        <v>1437149.9025987345</v>
      </c>
      <c r="K140" s="21"/>
      <c r="L140" s="13">
        <f>E14+E23+E32+E41+E50+E59+E68+E77+E86+E95+E104+E113+E122+E131+E140</f>
        <v>610000</v>
      </c>
      <c r="M140" s="21"/>
      <c r="N140" s="22"/>
    </row>
    <row r="141" spans="1:14" s="1" customFormat="1" x14ac:dyDescent="0.25">
      <c r="A141" s="19" t="s">
        <v>36</v>
      </c>
      <c r="B141" s="4" t="str">
        <f t="shared" si="48"/>
        <v>ВСЕГО:</v>
      </c>
      <c r="C141" s="15">
        <f>SUM(C142:C149)</f>
        <v>247536.94581280771</v>
      </c>
      <c r="D141" s="25">
        <f>'Исходные данные'!E68</f>
        <v>2.8278606965174147</v>
      </c>
      <c r="E141" s="15">
        <f>SUM(E142:E149)</f>
        <v>700000</v>
      </c>
      <c r="F141" s="15">
        <f>SUM(F142:F149)</f>
        <v>2294835.5263157897</v>
      </c>
      <c r="G141" s="23">
        <f>SUM(F142:F149)</f>
        <v>2294835.5263157897</v>
      </c>
      <c r="H141" s="25">
        <f>G141/(C6+C15+C24+C33+C42+C51+C60+C69+C78+C87+C96+C105+C114+C123)</f>
        <v>8.0574572748506532E-2</v>
      </c>
      <c r="I141" s="22">
        <f>H141/D141/3*12</f>
        <v>0.11397247799049826</v>
      </c>
      <c r="J141" s="15">
        <f>SUM(J142:J149)</f>
        <v>28990534.997787498</v>
      </c>
      <c r="K141" s="25">
        <f>L141/J141</f>
        <v>0.44497281616170598</v>
      </c>
      <c r="L141" s="15">
        <f>SUM(L142:L149)</f>
        <v>12900000</v>
      </c>
      <c r="M141" s="21">
        <f>(G6+G15+G24+G33+G42+G51+G60+G69+G78+G87+G96+G105+G114+G123+G132+G141)/J141</f>
        <v>0.61682847527183382</v>
      </c>
      <c r="N141" s="22">
        <f t="shared" ref="N141" si="61">M141/K141/3*12</f>
        <v>5.5448643410852707</v>
      </c>
    </row>
    <row r="142" spans="1:14" s="1" customFormat="1" x14ac:dyDescent="0.25">
      <c r="A142" s="14"/>
      <c r="B142" s="17" t="str">
        <f t="shared" si="48"/>
        <v>V</v>
      </c>
      <c r="C142" s="13">
        <f>E142/$D$141</f>
        <v>74261.083743842319</v>
      </c>
      <c r="D142" s="21"/>
      <c r="E142" s="13">
        <f>'Исходные данные'!$C$68*'Исходные данные'!$H$4</f>
        <v>210000</v>
      </c>
      <c r="F142" s="17">
        <f>(C124*D123)*'Исходные данные'!$E$4/12*3</f>
        <v>120000</v>
      </c>
      <c r="G142" s="24"/>
      <c r="H142" s="25"/>
      <c r="I142" s="22"/>
      <c r="J142" s="13">
        <f>C7+C16+C25+C34+C43+C52+C61+C70+C79+C88+C97+C106+C115+C124+C133+C142</f>
        <v>8697160.4993362501</v>
      </c>
      <c r="K142" s="21"/>
      <c r="L142" s="13">
        <f>E7+E16+E25+E34+E43+E52+E61+E70+E79+E88+E97+E106+E115+E124+E133+E142</f>
        <v>3870000</v>
      </c>
      <c r="M142" s="21"/>
      <c r="N142" s="22"/>
    </row>
    <row r="143" spans="1:14" s="1" customFormat="1" x14ac:dyDescent="0.25">
      <c r="A143" s="14"/>
      <c r="B143" s="6" t="str">
        <f t="shared" ref="B143:B174" si="62">B134</f>
        <v>G*</v>
      </c>
      <c r="C143" s="13">
        <f t="shared" ref="C143:C149" si="63">E143/$D$141</f>
        <v>61884.236453201935</v>
      </c>
      <c r="D143" s="21"/>
      <c r="E143" s="13">
        <f>'Исходные данные'!$C$68*'Исходные данные'!$H$5</f>
        <v>175000</v>
      </c>
      <c r="F143" s="17">
        <f>(C8*D15+C17*D15+C26*D24+C35*D33+C44*D42+C53*D51+C62*D60+C71*D69+C80*D78+C89*D87+C98*D96+C107*D105+C116*D114+C125*D123)*'Исходные данные'!$E$5/12*3</f>
        <v>828782.89473684225</v>
      </c>
      <c r="G143" s="24"/>
      <c r="H143" s="25"/>
      <c r="I143" s="22"/>
      <c r="J143" s="13">
        <f t="shared" ref="J143:J149" si="64">C8+C17+C26+C35+C44+C53+C62+C71+C80+C89+C98+C107+C116+C125+C134+C143</f>
        <v>7247633.7494468754</v>
      </c>
      <c r="K143" s="21"/>
      <c r="L143" s="13">
        <f t="shared" ref="L143:L148" si="65">E8+E17+E26+E35+E44+E53+E62+E71+E80+E89+E98+E107+E116+E125+E134+E143</f>
        <v>3225000</v>
      </c>
      <c r="M143" s="21"/>
      <c r="N143" s="22"/>
    </row>
    <row r="144" spans="1:14" s="1" customFormat="1" x14ac:dyDescent="0.25">
      <c r="A144" s="14"/>
      <c r="B144" s="6" t="str">
        <f t="shared" si="62"/>
        <v>M*</v>
      </c>
      <c r="C144" s="13">
        <f t="shared" si="63"/>
        <v>37130.541871921159</v>
      </c>
      <c r="D144" s="21"/>
      <c r="E144" s="13">
        <f>'Исходные данные'!$C$68*'Исходные данные'!$H$6</f>
        <v>105000</v>
      </c>
      <c r="F144" s="17">
        <f>(C9*D15+C18*D15+C27*D24+C36*D33+C45*D42+C54*D51+C63*D60+C72*D69+C81*D78+C90*D87+C99*D96+C108*D105+C117*D114+C126*D123)*'Исходные данные'!$F$6/12*3</f>
        <v>994539.47368421056</v>
      </c>
      <c r="G144" s="24"/>
      <c r="H144" s="25"/>
      <c r="I144" s="22"/>
      <c r="J144" s="13">
        <f t="shared" si="64"/>
        <v>4348580.2496681251</v>
      </c>
      <c r="K144" s="21"/>
      <c r="L144" s="13">
        <f t="shared" si="65"/>
        <v>1935000</v>
      </c>
      <c r="M144" s="21"/>
      <c r="N144" s="22"/>
    </row>
    <row r="145" spans="1:14" s="1" customFormat="1" x14ac:dyDescent="0.25">
      <c r="A145" s="14"/>
      <c r="B145" s="17" t="str">
        <f t="shared" si="62"/>
        <v>F</v>
      </c>
      <c r="C145" s="13">
        <f t="shared" si="63"/>
        <v>12376.847290640386</v>
      </c>
      <c r="D145" s="21"/>
      <c r="E145" s="13">
        <f>'Исходные данные'!$C$68*'Исходные данные'!$H$7</f>
        <v>35000</v>
      </c>
      <c r="F145" s="17">
        <f>(C127*D123)*'Исходные данные'!$E$7/12*3</f>
        <v>20000</v>
      </c>
      <c r="G145" s="24"/>
      <c r="H145" s="25"/>
      <c r="I145" s="22"/>
      <c r="J145" s="13">
        <f t="shared" si="64"/>
        <v>1449526.7498893749</v>
      </c>
      <c r="K145" s="21"/>
      <c r="L145" s="13">
        <f t="shared" si="65"/>
        <v>645000</v>
      </c>
      <c r="M145" s="21"/>
      <c r="N145" s="22"/>
    </row>
    <row r="146" spans="1:14" s="1" customFormat="1" x14ac:dyDescent="0.25">
      <c r="A146" s="14"/>
      <c r="B146" s="6" t="str">
        <f t="shared" si="62"/>
        <v>С*</v>
      </c>
      <c r="C146" s="13">
        <f t="shared" si="63"/>
        <v>12376.847290640386</v>
      </c>
      <c r="D146" s="21"/>
      <c r="E146" s="13">
        <f>'Исходные данные'!$C$68*'Исходные данные'!$H$8</f>
        <v>35000</v>
      </c>
      <c r="F146" s="17">
        <f>(C11*D15+C20*D15+C29*D24+C38*D33+C47*D42+C56*D51+C65*D60+C74*D69+C83*D78+C92*D87+C101*D96+C110*D105+C119*D114+C128*D123)*'Исходные данные'!$E$8/12*3</f>
        <v>82878.289473684214</v>
      </c>
      <c r="G146" s="24"/>
      <c r="H146" s="25"/>
      <c r="I146" s="22"/>
      <c r="J146" s="13">
        <f t="shared" si="64"/>
        <v>1449526.7498893749</v>
      </c>
      <c r="K146" s="21"/>
      <c r="L146" s="13">
        <f t="shared" si="65"/>
        <v>645000</v>
      </c>
      <c r="M146" s="21"/>
      <c r="N146" s="22"/>
    </row>
    <row r="147" spans="1:14" s="1" customFormat="1" x14ac:dyDescent="0.25">
      <c r="A147" s="14"/>
      <c r="B147" s="17" t="str">
        <f t="shared" si="62"/>
        <v xml:space="preserve">I </v>
      </c>
      <c r="C147" s="13">
        <f t="shared" si="63"/>
        <v>12376.847290640386</v>
      </c>
      <c r="D147" s="21"/>
      <c r="E147" s="13">
        <f>'Исходные данные'!$C$68*'Исходные данные'!$H$9</f>
        <v>35000</v>
      </c>
      <c r="F147" s="17">
        <f>(C129*D123)*'Исходные данные'!$E$9/12*3</f>
        <v>0</v>
      </c>
      <c r="G147" s="24"/>
      <c r="H147" s="25"/>
      <c r="I147" s="22"/>
      <c r="J147" s="13">
        <f t="shared" si="64"/>
        <v>1449526.7498893749</v>
      </c>
      <c r="K147" s="21"/>
      <c r="L147" s="13">
        <f t="shared" si="65"/>
        <v>645000</v>
      </c>
      <c r="M147" s="21"/>
      <c r="N147" s="22"/>
    </row>
    <row r="148" spans="1:14" s="1" customFormat="1" x14ac:dyDescent="0.25">
      <c r="A148" s="14"/>
      <c r="B148" s="6" t="str">
        <f t="shared" si="62"/>
        <v>R*</v>
      </c>
      <c r="C148" s="13">
        <f t="shared" si="63"/>
        <v>24753.694581280772</v>
      </c>
      <c r="D148" s="21"/>
      <c r="E148" s="13">
        <f>'Исходные данные'!$C$68*'Исходные данные'!$H$10</f>
        <v>70000</v>
      </c>
      <c r="F148" s="17">
        <f>(C13*D15+C22*D15+C31*D24+C40*D33+C49*D42+C58*D51+C67*D60+C76*D69+C85*D78+C94*D87+C103*D96+C112*D105+C121*D114+C130*D123)*'Исходные данные'!$E$10/12*3</f>
        <v>165756.57894736843</v>
      </c>
      <c r="G148" s="24"/>
      <c r="H148" s="25"/>
      <c r="I148" s="22"/>
      <c r="J148" s="13">
        <f t="shared" si="64"/>
        <v>2899053.4997787499</v>
      </c>
      <c r="K148" s="21"/>
      <c r="L148" s="13">
        <f t="shared" si="65"/>
        <v>1290000</v>
      </c>
      <c r="M148" s="21"/>
      <c r="N148" s="22"/>
    </row>
    <row r="149" spans="1:14" s="1" customFormat="1" x14ac:dyDescent="0.25">
      <c r="A149" s="14"/>
      <c r="B149" s="6" t="str">
        <f t="shared" si="62"/>
        <v>А*</v>
      </c>
      <c r="C149" s="13">
        <f t="shared" si="63"/>
        <v>12376.847290640386</v>
      </c>
      <c r="D149" s="21"/>
      <c r="E149" s="13">
        <f>'Исходные данные'!$C$68*'Исходные данные'!$H$11</f>
        <v>35000</v>
      </c>
      <c r="F149" s="17">
        <f>(C14*D15+C23*D15+C32*D24+C41*D33+C50*D42+C59*D51+C68*D60+C77*D69+C86*D78+C95*D87+C104*D96+C113*D105+C122*D114+C131*D123)*'Исходные данные'!$G$11/12*3</f>
        <v>82878.289473684214</v>
      </c>
      <c r="G149" s="24"/>
      <c r="H149" s="25"/>
      <c r="I149" s="22"/>
      <c r="J149" s="13">
        <f t="shared" si="64"/>
        <v>1449526.7498893749</v>
      </c>
      <c r="K149" s="21"/>
      <c r="L149" s="13">
        <f>E14+E23+E32+E41+E50+E59+E68+E77+E86+E95+E104+E113+E122+E131+E140+E149</f>
        <v>645000</v>
      </c>
      <c r="M149" s="21"/>
      <c r="N149" s="22"/>
    </row>
    <row r="150" spans="1:14" s="1" customFormat="1" x14ac:dyDescent="0.25">
      <c r="A150" s="19" t="s">
        <v>37</v>
      </c>
      <c r="B150" s="4" t="str">
        <f t="shared" si="62"/>
        <v>ВСЕГО:</v>
      </c>
      <c r="C150" s="15">
        <f>SUM(C151:C158)</f>
        <v>203448.27586206884</v>
      </c>
      <c r="D150" s="25">
        <f>'Исходные данные'!E69</f>
        <v>2.9491525423728833</v>
      </c>
      <c r="E150" s="15">
        <f>SUM(E151:E158)</f>
        <v>600000</v>
      </c>
      <c r="F150" s="15">
        <f>SUM(F151:F158)</f>
        <v>2391085.5263157892</v>
      </c>
      <c r="G150" s="23">
        <f>SUM(F151:F158)</f>
        <v>2391085.5263157892</v>
      </c>
      <c r="H150" s="25">
        <f>G150/(C6+C15+C24+C33+C42+C51+C60+C69+C78+C87+C96+C105+C114+C123+C132)</f>
        <v>8.3188452436036592E-2</v>
      </c>
      <c r="I150" s="22">
        <f>H150/D150/3*12</f>
        <v>0.11283031479830241</v>
      </c>
      <c r="J150" s="15">
        <f>SUM(J151:J158)</f>
        <v>29193983.27364957</v>
      </c>
      <c r="K150" s="25">
        <f>L150/J150</f>
        <v>0.46242405064967868</v>
      </c>
      <c r="L150" s="15">
        <f>SUM(L151:L158)</f>
        <v>13500000</v>
      </c>
      <c r="M150" s="21">
        <f>(G6+G15+G24+G33+G42+G51+G60+G69+G78+G87+G96+G105+G114+G123+G132+G141+G150)/J150</f>
        <v>0.69443326168561603</v>
      </c>
      <c r="N150" s="22">
        <f>M150/K150/3*12</f>
        <v>6.0068957115009738</v>
      </c>
    </row>
    <row r="151" spans="1:14" s="1" customFormat="1" x14ac:dyDescent="0.25">
      <c r="A151" s="14"/>
      <c r="B151" s="17" t="str">
        <f t="shared" si="62"/>
        <v>V</v>
      </c>
      <c r="C151" s="13">
        <f t="shared" ref="C151:C158" si="66">E151/$D$150</f>
        <v>61034.482758620652</v>
      </c>
      <c r="D151" s="21"/>
      <c r="E151" s="13">
        <f>'Исходные данные'!$C$69*'Исходные данные'!$H$4</f>
        <v>180000</v>
      </c>
      <c r="F151" s="17">
        <f>(C133*D132)*'Исходные данные'!$E$4/12*3</f>
        <v>105000</v>
      </c>
      <c r="G151" s="24"/>
      <c r="H151" s="25"/>
      <c r="I151" s="22"/>
      <c r="J151" s="13">
        <f>C7+C16+C25+C34+C43+C52+C61+C70+C79+C88+C97+C106+C115+C124+C133+C142+C151</f>
        <v>8758194.9820948709</v>
      </c>
      <c r="K151" s="21"/>
      <c r="L151" s="13">
        <f>E7+E16+E25+E34+E43+E52+E61+E70+E79+E88+E97+E106+E115+E124+E133+E142+E151</f>
        <v>4050000</v>
      </c>
      <c r="M151" s="21"/>
      <c r="N151" s="22"/>
    </row>
    <row r="152" spans="1:14" s="1" customFormat="1" x14ac:dyDescent="0.25">
      <c r="A152" s="14"/>
      <c r="B152" s="6" t="str">
        <f t="shared" si="62"/>
        <v>G*</v>
      </c>
      <c r="C152" s="13">
        <f t="shared" si="66"/>
        <v>50862.06896551721</v>
      </c>
      <c r="D152" s="21"/>
      <c r="E152" s="13">
        <f>'Исходные данные'!$C$69*'Исходные данные'!$H$5</f>
        <v>150000</v>
      </c>
      <c r="F152" s="17">
        <f>(C8*D15+C17*D15+C26*D24+C35*D33+C44*D42+C53*D51+C62*D60+C71*D69+C80*D78+C89*D87+C98*D96+C107*D105+C116*D114+C125*D123+C134*D132)*'Исходные данные'!$E$5/12*3</f>
        <v>872532.89473684214</v>
      </c>
      <c r="G152" s="24"/>
      <c r="H152" s="25"/>
      <c r="I152" s="22"/>
      <c r="J152" s="13">
        <f t="shared" ref="J152:J158" si="67">C8+C17+C26+C35+C44+C53+C62+C71+C80+C89+C98+C107+C116+C125+C134+C143+C152</f>
        <v>7298495.8184123924</v>
      </c>
      <c r="K152" s="21"/>
      <c r="L152" s="13">
        <f t="shared" ref="L152:L158" si="68">E8+E17+E26+E35+E44+E53+E62+E71+E80+E89+E98+E107+E116+E125+E134+E143+E152</f>
        <v>3375000</v>
      </c>
      <c r="M152" s="21"/>
      <c r="N152" s="22"/>
    </row>
    <row r="153" spans="1:14" s="1" customFormat="1" x14ac:dyDescent="0.25">
      <c r="A153" s="14"/>
      <c r="B153" s="6" t="str">
        <f t="shared" si="62"/>
        <v>M*</v>
      </c>
      <c r="C153" s="13">
        <f t="shared" si="66"/>
        <v>30517.241379310326</v>
      </c>
      <c r="D153" s="21"/>
      <c r="E153" s="13">
        <f>'Исходные данные'!$C$69*'Исходные данные'!$H$6</f>
        <v>90000</v>
      </c>
      <c r="F153" s="17">
        <f>(C9*D15+C18*D15+C27*D24+C36*D33+C45*D42+C54*D51+C63*D60+C72*D69+C81*D78+C90*D87+C99*D96+C108*D105+C117*D114+C126*D123+C135*D132)*'Исходные данные'!$F$6/12*3</f>
        <v>1047039.4736842106</v>
      </c>
      <c r="G153" s="24"/>
      <c r="H153" s="25"/>
      <c r="I153" s="22"/>
      <c r="J153" s="13">
        <f t="shared" si="67"/>
        <v>4379097.4910474354</v>
      </c>
      <c r="K153" s="21"/>
      <c r="L153" s="13">
        <f t="shared" si="68"/>
        <v>2025000</v>
      </c>
      <c r="M153" s="21"/>
      <c r="N153" s="22"/>
    </row>
    <row r="154" spans="1:14" s="1" customFormat="1" x14ac:dyDescent="0.25">
      <c r="A154" s="14"/>
      <c r="B154" s="17" t="str">
        <f t="shared" si="62"/>
        <v>F</v>
      </c>
      <c r="C154" s="13">
        <f t="shared" si="66"/>
        <v>10172.413793103442</v>
      </c>
      <c r="D154" s="21"/>
      <c r="E154" s="13">
        <f>'Исходные данные'!$C$69*'Исходные данные'!$H$7</f>
        <v>30000</v>
      </c>
      <c r="F154" s="17">
        <f>(C136*D132)*'Исходные данные'!$E$7/12*3</f>
        <v>17500</v>
      </c>
      <c r="G154" s="24"/>
      <c r="H154" s="25"/>
      <c r="I154" s="22"/>
      <c r="J154" s="13">
        <f t="shared" si="67"/>
        <v>1459699.1636824785</v>
      </c>
      <c r="K154" s="21"/>
      <c r="L154" s="13">
        <f t="shared" si="68"/>
        <v>675000</v>
      </c>
      <c r="M154" s="21"/>
      <c r="N154" s="22"/>
    </row>
    <row r="155" spans="1:14" s="1" customFormat="1" x14ac:dyDescent="0.25">
      <c r="A155" s="14"/>
      <c r="B155" s="6" t="str">
        <f t="shared" si="62"/>
        <v>С*</v>
      </c>
      <c r="C155" s="13">
        <f t="shared" si="66"/>
        <v>10172.413793103442</v>
      </c>
      <c r="D155" s="21"/>
      <c r="E155" s="13">
        <f>'Исходные данные'!$C$69*'Исходные данные'!$H$8</f>
        <v>30000</v>
      </c>
      <c r="F155" s="17">
        <f>(C11*D15+C20*D15+C29*D24+C38*D33+C47*D42+C56*D51+C65*D60+C74*D69+C83*D78+C92*D87+C101*D96+C110*D105+C119*D114+C128*D123+C137*D132)*'Исходные данные'!$E$8/12*3</f>
        <v>87253.289473684214</v>
      </c>
      <c r="G155" s="24"/>
      <c r="H155" s="25"/>
      <c r="I155" s="22"/>
      <c r="J155" s="13">
        <f t="shared" si="67"/>
        <v>1459699.1636824785</v>
      </c>
      <c r="K155" s="21"/>
      <c r="L155" s="13">
        <f t="shared" si="68"/>
        <v>675000</v>
      </c>
      <c r="M155" s="21"/>
      <c r="N155" s="22"/>
    </row>
    <row r="156" spans="1:14" s="1" customFormat="1" x14ac:dyDescent="0.25">
      <c r="A156" s="14"/>
      <c r="B156" s="17" t="str">
        <f t="shared" si="62"/>
        <v xml:space="preserve">I </v>
      </c>
      <c r="C156" s="13">
        <f t="shared" si="66"/>
        <v>10172.413793103442</v>
      </c>
      <c r="D156" s="21"/>
      <c r="E156" s="13">
        <f>'Исходные данные'!$C$69*'Исходные данные'!$H$9</f>
        <v>30000</v>
      </c>
      <c r="F156" s="17">
        <f>(C138*D132)*'Исходные данные'!$E$9/12*3</f>
        <v>0</v>
      </c>
      <c r="G156" s="24"/>
      <c r="H156" s="25"/>
      <c r="I156" s="22"/>
      <c r="J156" s="13">
        <f t="shared" si="67"/>
        <v>1459699.1636824785</v>
      </c>
      <c r="K156" s="21"/>
      <c r="L156" s="13">
        <f t="shared" si="68"/>
        <v>675000</v>
      </c>
      <c r="M156" s="21"/>
      <c r="N156" s="22"/>
    </row>
    <row r="157" spans="1:14" s="1" customFormat="1" x14ac:dyDescent="0.25">
      <c r="A157" s="14"/>
      <c r="B157" s="6" t="str">
        <f t="shared" si="62"/>
        <v>R*</v>
      </c>
      <c r="C157" s="13">
        <f t="shared" si="66"/>
        <v>20344.827586206884</v>
      </c>
      <c r="D157" s="21"/>
      <c r="E157" s="13">
        <f>'Исходные данные'!$C$69*'Исходные данные'!$H$10</f>
        <v>60000</v>
      </c>
      <c r="F157" s="17">
        <f>(C13*D15+C22*D15+C31*D24+C40*D33+C49*D42+C58*D51+C67*D60+C76*D69+C85*D78+C94*D87+C103*D96+C112*D105+C121*D114+C130*D123+C139*D132)*'Исходные данные'!$E$10/12*3</f>
        <v>174506.57894736843</v>
      </c>
      <c r="G157" s="24"/>
      <c r="H157" s="25"/>
      <c r="I157" s="22"/>
      <c r="J157" s="13">
        <f t="shared" si="67"/>
        <v>2919398.327364957</v>
      </c>
      <c r="K157" s="21"/>
      <c r="L157" s="13">
        <f t="shared" si="68"/>
        <v>1350000</v>
      </c>
      <c r="M157" s="21"/>
      <c r="N157" s="22"/>
    </row>
    <row r="158" spans="1:14" s="1" customFormat="1" x14ac:dyDescent="0.25">
      <c r="A158" s="14"/>
      <c r="B158" s="6" t="str">
        <f t="shared" si="62"/>
        <v>А*</v>
      </c>
      <c r="C158" s="13">
        <f t="shared" si="66"/>
        <v>10172.413793103442</v>
      </c>
      <c r="D158" s="21"/>
      <c r="E158" s="13">
        <f>'Исходные данные'!$C$69*'Исходные данные'!$H$11</f>
        <v>30000</v>
      </c>
      <c r="F158" s="17">
        <f>(C14*D15+C23*D15+C32*D24+C41*D33+C50*D42+C59*D51+C68*D60+C77*D69+C86*D78+C95*D87+C104*D96+C113*D105+C122*D114+C131*D123+C140*D132)*'Исходные данные'!$G$11/12*3</f>
        <v>87253.289473684214</v>
      </c>
      <c r="G158" s="24"/>
      <c r="H158" s="25"/>
      <c r="I158" s="22"/>
      <c r="J158" s="13">
        <f t="shared" si="67"/>
        <v>1459699.1636824785</v>
      </c>
      <c r="K158" s="21"/>
      <c r="L158" s="13">
        <f t="shared" si="68"/>
        <v>675000</v>
      </c>
      <c r="M158" s="21"/>
      <c r="N158" s="22"/>
    </row>
    <row r="159" spans="1:14" s="1" customFormat="1" x14ac:dyDescent="0.25">
      <c r="A159" s="19" t="s">
        <v>38</v>
      </c>
      <c r="B159" s="4" t="str">
        <f t="shared" si="62"/>
        <v>ВСЕГО:</v>
      </c>
      <c r="C159" s="15">
        <f>SUM(C160:C167)</f>
        <v>195698.92473118266</v>
      </c>
      <c r="D159" s="25">
        <f>'Исходные данные'!E70</f>
        <v>3.0659340659340675</v>
      </c>
      <c r="E159" s="15">
        <f>SUM(E160:E167)</f>
        <v>600000</v>
      </c>
      <c r="F159" s="15">
        <f>SUM(F160:F167)</f>
        <v>2504835.5263157892</v>
      </c>
      <c r="G159" s="23">
        <f>SUM(F160:F167)</f>
        <v>2504835.5263157892</v>
      </c>
      <c r="H159" s="25">
        <f>G159/(C6+C15+C24+C33+C42+C51+C60+C69+C78+C87+C96+C105+C114+C123+C132+C141)</f>
        <v>8.640183861756788E-2</v>
      </c>
      <c r="I159" s="22">
        <f>H159/D159/3*12</f>
        <v>0.11272497941503473</v>
      </c>
      <c r="J159" s="15">
        <f>SUM(J160:J167)</f>
        <v>29389682.198380753</v>
      </c>
      <c r="K159" s="25">
        <f>L159/J159</f>
        <v>0.47976020648419432</v>
      </c>
      <c r="L159" s="15">
        <f>SUM(L160:L167)</f>
        <v>14100000</v>
      </c>
      <c r="M159" s="21">
        <f>(G6+G15+G24+G33+G42+G51+G60+G69+G78+G87+G96+G105+G114+G123+G132+G141+G150+G159)/J159</f>
        <v>0.7750375930872283</v>
      </c>
      <c r="N159" s="22">
        <f t="shared" ref="N159" si="69">M159/K159/3*12</f>
        <v>6.4618747667039944</v>
      </c>
    </row>
    <row r="160" spans="1:14" s="1" customFormat="1" x14ac:dyDescent="0.25">
      <c r="A160" s="14"/>
      <c r="B160" s="17" t="str">
        <f t="shared" si="62"/>
        <v>V</v>
      </c>
      <c r="C160" s="13">
        <f>E160/$D$159</f>
        <v>58709.677419354812</v>
      </c>
      <c r="D160" s="21"/>
      <c r="E160" s="13">
        <f>'Исходные данные'!$C$70*'Исходные данные'!$H$4</f>
        <v>180000</v>
      </c>
      <c r="F160" s="17">
        <f>(C142*D141)*'Исходные данные'!$E$4/12*3</f>
        <v>105000</v>
      </c>
      <c r="G160" s="24"/>
      <c r="H160" s="25"/>
      <c r="I160" s="22"/>
      <c r="J160" s="13">
        <f>C7+C16+C25+C34+C43+C52+C61+C70+C79+C88+C97+C106+C115+C124+C133+C142+C151+C160</f>
        <v>8816904.659514226</v>
      </c>
      <c r="K160" s="21"/>
      <c r="L160" s="13">
        <f>E7+E16+E25+E34+E43+E52+E61+E70+E79+E88+E97+E106+E115+E124+E133+E142+E151+E160</f>
        <v>4230000</v>
      </c>
      <c r="M160" s="21"/>
      <c r="N160" s="22"/>
    </row>
    <row r="161" spans="1:14" s="1" customFormat="1" x14ac:dyDescent="0.25">
      <c r="A161" s="14"/>
      <c r="B161" s="6" t="str">
        <f t="shared" si="62"/>
        <v>G*</v>
      </c>
      <c r="C161" s="13">
        <f t="shared" ref="C161:C167" si="70">E161/$D$159</f>
        <v>48924.731182795673</v>
      </c>
      <c r="D161" s="21"/>
      <c r="E161" s="13">
        <f>'Исходные данные'!$C$70*'Исходные данные'!$H$5</f>
        <v>150000</v>
      </c>
      <c r="F161" s="17">
        <f>(C8*D15+C17*D15+C26*D24+C35*D33+C44*D42+C53*D51+C62*D60+C71*D69+C80*D78+C89*D87+C98*D96+C107*D105+C116*D114+C125*D123+C134*D132+C143*D141)*'Исходные данные'!$E$5/12*3</f>
        <v>916282.89473684202</v>
      </c>
      <c r="G161" s="24"/>
      <c r="H161" s="25"/>
      <c r="I161" s="22"/>
      <c r="J161" s="13">
        <f t="shared" ref="J161:J167" si="71">C8+C17+C26+C35+C44+C53+C62+C71+C80+C89+C98+C107+C116+C125+C134+C143+C152+C161</f>
        <v>7347420.5495951883</v>
      </c>
      <c r="K161" s="21"/>
      <c r="L161" s="13">
        <f t="shared" ref="L161:L167" si="72">E8+E17+E26+E35+E44+E53+E62+E71+E80+E89+E98+E107+E116+E125+E134+E143+E152+E161</f>
        <v>3525000</v>
      </c>
      <c r="M161" s="21"/>
      <c r="N161" s="22"/>
    </row>
    <row r="162" spans="1:14" s="1" customFormat="1" x14ac:dyDescent="0.25">
      <c r="A162" s="14"/>
      <c r="B162" s="6" t="str">
        <f t="shared" si="62"/>
        <v>M*</v>
      </c>
      <c r="C162" s="13">
        <f t="shared" si="70"/>
        <v>29354.838709677406</v>
      </c>
      <c r="D162" s="21"/>
      <c r="E162" s="13">
        <f>'Исходные данные'!$C$70*'Исходные данные'!$H$6</f>
        <v>90000</v>
      </c>
      <c r="F162" s="17">
        <f>(C9*D15+C18*D15+C27*D24+C36*D33+C45*D42+C54*D51+C63*D60+C72*D69+C81*D78+C90*D87+C99*D96+C108*D105+C117*D114+C126*D123+C135*D132+C144*D141)*'Исходные данные'!$F$6/12*3</f>
        <v>1099539.4736842106</v>
      </c>
      <c r="G162" s="24"/>
      <c r="H162" s="25"/>
      <c r="I162" s="22"/>
      <c r="J162" s="13">
        <f t="shared" si="71"/>
        <v>4408452.329757113</v>
      </c>
      <c r="K162" s="21"/>
      <c r="L162" s="13">
        <f t="shared" si="72"/>
        <v>2115000</v>
      </c>
      <c r="M162" s="21"/>
      <c r="N162" s="22"/>
    </row>
    <row r="163" spans="1:14" s="1" customFormat="1" x14ac:dyDescent="0.25">
      <c r="A163" s="14"/>
      <c r="B163" s="17" t="str">
        <f t="shared" si="62"/>
        <v>F</v>
      </c>
      <c r="C163" s="13">
        <f t="shared" si="70"/>
        <v>9784.9462365591353</v>
      </c>
      <c r="D163" s="21"/>
      <c r="E163" s="13">
        <f>'Исходные данные'!$C$70*'Исходные данные'!$H$7</f>
        <v>30000</v>
      </c>
      <c r="F163" s="17">
        <f>(C145*D141)*'Исходные данные'!$E$7/12*3</f>
        <v>17500</v>
      </c>
      <c r="G163" s="24"/>
      <c r="H163" s="25"/>
      <c r="I163" s="22"/>
      <c r="J163" s="13">
        <f t="shared" si="71"/>
        <v>1469484.1099190377</v>
      </c>
      <c r="K163" s="21"/>
      <c r="L163" s="13">
        <f t="shared" si="72"/>
        <v>705000</v>
      </c>
      <c r="M163" s="21"/>
      <c r="N163" s="22"/>
    </row>
    <row r="164" spans="1:14" s="1" customFormat="1" x14ac:dyDescent="0.25">
      <c r="A164" s="14"/>
      <c r="B164" s="6" t="str">
        <f t="shared" si="62"/>
        <v>С*</v>
      </c>
      <c r="C164" s="13">
        <f t="shared" si="70"/>
        <v>9784.9462365591353</v>
      </c>
      <c r="D164" s="21"/>
      <c r="E164" s="13">
        <f>'Исходные данные'!$C$70*'Исходные данные'!$H$8</f>
        <v>30000</v>
      </c>
      <c r="F164" s="17">
        <f>(C11*D15+C20*D15+C29*D24+C38*D33+C47*D42+C56*D51+C65*D60+C74*D69+C83*D78+C92*D87+C101*D96+C110*D105+C119*D114+C128*D123+C137*D132+C146*D141)*'Исходные данные'!$E$8/12*3</f>
        <v>91628.289473684214</v>
      </c>
      <c r="G164" s="24"/>
      <c r="H164" s="25"/>
      <c r="I164" s="22"/>
      <c r="J164" s="13">
        <f t="shared" si="71"/>
        <v>1469484.1099190377</v>
      </c>
      <c r="K164" s="21"/>
      <c r="L164" s="13">
        <f t="shared" si="72"/>
        <v>705000</v>
      </c>
      <c r="M164" s="21"/>
      <c r="N164" s="22"/>
    </row>
    <row r="165" spans="1:14" s="1" customFormat="1" x14ac:dyDescent="0.25">
      <c r="A165" s="14"/>
      <c r="B165" s="17" t="str">
        <f t="shared" si="62"/>
        <v xml:space="preserve">I </v>
      </c>
      <c r="C165" s="13">
        <f t="shared" si="70"/>
        <v>9784.9462365591353</v>
      </c>
      <c r="D165" s="21"/>
      <c r="E165" s="13">
        <f>'Исходные данные'!$C$70*'Исходные данные'!$H$9</f>
        <v>30000</v>
      </c>
      <c r="F165" s="17">
        <f>(C147*D141)*'Исходные данные'!$E$9/12*3</f>
        <v>0</v>
      </c>
      <c r="G165" s="24"/>
      <c r="H165" s="25"/>
      <c r="I165" s="22"/>
      <c r="J165" s="13">
        <f t="shared" si="71"/>
        <v>1469484.1099190377</v>
      </c>
      <c r="K165" s="21"/>
      <c r="L165" s="13">
        <f t="shared" si="72"/>
        <v>705000</v>
      </c>
      <c r="M165" s="21"/>
      <c r="N165" s="22"/>
    </row>
    <row r="166" spans="1:14" s="1" customFormat="1" x14ac:dyDescent="0.25">
      <c r="A166" s="14"/>
      <c r="B166" s="6" t="str">
        <f t="shared" si="62"/>
        <v>R*</v>
      </c>
      <c r="C166" s="13">
        <f t="shared" si="70"/>
        <v>19569.892473118271</v>
      </c>
      <c r="D166" s="21"/>
      <c r="E166" s="13">
        <f>'Исходные данные'!$C$70*'Исходные данные'!$H$10</f>
        <v>60000</v>
      </c>
      <c r="F166" s="17">
        <f>(C13*D15+C22*D15+C31*D24+C40*D33+C49*D42+C58*D51+C67*D60+C76*D69+C85*D78+C94*D87+C103*D96+C112*D105+C121*D114+C130*D123+C139*D132+C148*D141)*'Исходные данные'!$E$10/12*3</f>
        <v>183256.57894736843</v>
      </c>
      <c r="G166" s="24"/>
      <c r="H166" s="25"/>
      <c r="I166" s="22"/>
      <c r="J166" s="13">
        <f t="shared" si="71"/>
        <v>2938968.2198380753</v>
      </c>
      <c r="K166" s="21"/>
      <c r="L166" s="13">
        <f t="shared" si="72"/>
        <v>1410000</v>
      </c>
      <c r="M166" s="21"/>
      <c r="N166" s="22"/>
    </row>
    <row r="167" spans="1:14" s="1" customFormat="1" x14ac:dyDescent="0.25">
      <c r="A167" s="14"/>
      <c r="B167" s="6" t="str">
        <f t="shared" si="62"/>
        <v>А*</v>
      </c>
      <c r="C167" s="13">
        <f t="shared" si="70"/>
        <v>9784.9462365591353</v>
      </c>
      <c r="D167" s="21"/>
      <c r="E167" s="13">
        <f>'Исходные данные'!$C$70*'Исходные данные'!$H$11</f>
        <v>30000</v>
      </c>
      <c r="F167" s="17">
        <f>(C14*D15+C23*D15+C32*D24+C41*D33+C50*D42+C59*D51+C68*D60+C77*D69+C86*D78+C95*D87+C104*D96+C113*D105+C122*D114+C131*D123+C140*D132+C149*D141)*'Исходные данные'!$G$11/12*3</f>
        <v>91628.289473684214</v>
      </c>
      <c r="G167" s="24"/>
      <c r="H167" s="25"/>
      <c r="I167" s="22"/>
      <c r="J167" s="13">
        <f t="shared" si="71"/>
        <v>1469484.1099190377</v>
      </c>
      <c r="K167" s="21"/>
      <c r="L167" s="13">
        <f t="shared" si="72"/>
        <v>705000</v>
      </c>
      <c r="M167" s="21"/>
      <c r="N167" s="22"/>
    </row>
    <row r="168" spans="1:14" s="1" customFormat="1" x14ac:dyDescent="0.25">
      <c r="A168" s="19" t="s">
        <v>39</v>
      </c>
      <c r="B168" s="4" t="str">
        <f t="shared" si="62"/>
        <v>ВСЕГО:</v>
      </c>
      <c r="C168" s="15">
        <f>SUM(C169:C176)</f>
        <v>188508.06451612894</v>
      </c>
      <c r="D168" s="25">
        <f>'Исходные данные'!E71</f>
        <v>3.1828877005347613</v>
      </c>
      <c r="E168" s="15">
        <f>SUM(E169:E176)</f>
        <v>600000</v>
      </c>
      <c r="F168" s="15">
        <f>SUM(F169:F176)</f>
        <v>2584835.5263157892</v>
      </c>
      <c r="G168" s="23">
        <f>SUM(F169:F176)</f>
        <v>2584835.5263157892</v>
      </c>
      <c r="H168" s="25">
        <f>G168/(C6+C15+C24+C33+C42+C51+C60+C69+C78+C87+C96+C105+C114+C123+C132+C141+C150)</f>
        <v>8.8540008469788239E-2</v>
      </c>
      <c r="I168" s="22">
        <f>H168/D168/3*12</f>
        <v>0.11127003752587628</v>
      </c>
      <c r="J168" s="15">
        <f>SUM(J169:J176)</f>
        <v>29578190.262896881</v>
      </c>
      <c r="K168" s="25">
        <f>L168/J168</f>
        <v>0.49698780991478703</v>
      </c>
      <c r="L168" s="15">
        <f>SUM(L169:L176)</f>
        <v>14700000</v>
      </c>
      <c r="M168" s="21">
        <f>(G6+G15+G24+G33+G42+G51+G60+G69+G78+G87+G96+G105+G114+G123+G132+G141+G150+G159+G168)/J168</f>
        <v>0.85748802930525636</v>
      </c>
      <c r="N168" s="22">
        <f>M168/K168/3*12</f>
        <v>6.9014813820264962</v>
      </c>
    </row>
    <row r="169" spans="1:14" x14ac:dyDescent="0.25">
      <c r="A169" s="14"/>
      <c r="B169" s="17" t="str">
        <f t="shared" si="62"/>
        <v>V</v>
      </c>
      <c r="C169" s="13">
        <f>E169/$D$168</f>
        <v>56552.419354838676</v>
      </c>
      <c r="D169" s="21"/>
      <c r="E169" s="13">
        <f>'Исходные данные'!$C$71*'Исходные данные'!$H$4</f>
        <v>180000</v>
      </c>
      <c r="F169" s="17">
        <f>(C151*D150)*'Исходные данные'!$E$4/12*3</f>
        <v>90000</v>
      </c>
      <c r="G169" s="24"/>
      <c r="H169" s="25"/>
      <c r="I169" s="22"/>
      <c r="J169" s="13">
        <f>C7+C16+C25+C34+C43+C52+C61+C70+C79+C88+C97+C106+C115+C124+C133+C142+C151+C160+C169</f>
        <v>8873457.0788690653</v>
      </c>
      <c r="K169" s="21"/>
      <c r="L169" s="13">
        <f>E7+E16+E25+E34+E43+E52+E61+E70+E79+E88+E97+E106+E115+E124+E133+E142+E151+E160+E169</f>
        <v>4410000</v>
      </c>
      <c r="M169" s="21"/>
      <c r="N169" s="22"/>
    </row>
    <row r="170" spans="1:14" x14ac:dyDescent="0.25">
      <c r="A170" s="14"/>
      <c r="B170" s="6" t="str">
        <f t="shared" si="62"/>
        <v>G*</v>
      </c>
      <c r="C170" s="13">
        <f t="shared" ref="C170:C176" si="73">E170/$D$168</f>
        <v>47127.016129032228</v>
      </c>
      <c r="D170" s="21"/>
      <c r="E170" s="13">
        <f>'Исходные данные'!$C$71*'Исходные данные'!$H$5</f>
        <v>150000</v>
      </c>
      <c r="F170" s="17">
        <f>(C8*D15+C17*D15+C26*D24+C35*D33+C44*D42+C53*D51+C62*D60+C71*D69+C80*D78+C89*D87+C98*D96+C107*D105+C116*D114+C125*D123+C134*D132+C143*D141+C152*D150)*'Исходные данные'!$E$5/12*3</f>
        <v>953782.89473684202</v>
      </c>
      <c r="G170" s="24"/>
      <c r="H170" s="25"/>
      <c r="I170" s="22"/>
      <c r="J170" s="13">
        <f t="shared" ref="J170:J176" si="74">C8+C17+C26+C35+C44+C53+C62+C71+C80+C89+C98+C107+C116+C125+C134+C143+C152+C161+C170</f>
        <v>7394547.5657242201</v>
      </c>
      <c r="K170" s="21"/>
      <c r="L170" s="13">
        <f t="shared" ref="L170:L176" si="75">E8+E17+E26+E35+E44+E53+E62+E71+E80+E89+E98+E107+E116+E125+E134+E143+E152+E161+E170</f>
        <v>3675000</v>
      </c>
      <c r="M170" s="21"/>
      <c r="N170" s="22"/>
    </row>
    <row r="171" spans="1:14" x14ac:dyDescent="0.25">
      <c r="A171" s="14"/>
      <c r="B171" s="6" t="str">
        <f t="shared" si="62"/>
        <v>M*</v>
      </c>
      <c r="C171" s="13">
        <f t="shared" si="73"/>
        <v>28276.209677419338</v>
      </c>
      <c r="D171" s="21"/>
      <c r="E171" s="13">
        <f>'Исходные данные'!$C$71*'Исходные данные'!$H$6</f>
        <v>90000</v>
      </c>
      <c r="F171" s="17">
        <f>(C9*D15+C18*D15+C27*D24+C36*D33+C45*D42+C54*D51+C63*D60+C72*D69+C81*D78+C90*D87+C99*D96+C108*D105+C117*D114+C126*D123+C135*D132+C144*D141+C153*D150)*'Исходные данные'!$F$6/12*3</f>
        <v>1144539.4736842106</v>
      </c>
      <c r="G171" s="24"/>
      <c r="H171" s="25"/>
      <c r="I171" s="22"/>
      <c r="J171" s="13">
        <f t="shared" si="74"/>
        <v>4436728.5394345326</v>
      </c>
      <c r="K171" s="21"/>
      <c r="L171" s="13">
        <f t="shared" si="75"/>
        <v>2205000</v>
      </c>
      <c r="M171" s="21"/>
      <c r="N171" s="22"/>
    </row>
    <row r="172" spans="1:14" x14ac:dyDescent="0.25">
      <c r="A172" s="14"/>
      <c r="B172" s="17" t="str">
        <f t="shared" si="62"/>
        <v>F</v>
      </c>
      <c r="C172" s="13">
        <f t="shared" si="73"/>
        <v>9425.4032258064453</v>
      </c>
      <c r="D172" s="21"/>
      <c r="E172" s="13">
        <f>'Исходные данные'!$C$71*'Исходные данные'!$H$7</f>
        <v>30000</v>
      </c>
      <c r="F172" s="17">
        <f>(C154*D150)*'Исходные данные'!$E$7/12*3</f>
        <v>15000</v>
      </c>
      <c r="G172" s="24"/>
      <c r="H172" s="25"/>
      <c r="I172" s="22"/>
      <c r="J172" s="13">
        <f t="shared" si="74"/>
        <v>1478909.5131448442</v>
      </c>
      <c r="K172" s="21"/>
      <c r="L172" s="13">
        <f t="shared" si="75"/>
        <v>735000</v>
      </c>
      <c r="M172" s="21"/>
      <c r="N172" s="22"/>
    </row>
    <row r="173" spans="1:14" x14ac:dyDescent="0.25">
      <c r="A173" s="14"/>
      <c r="B173" s="6" t="str">
        <f t="shared" si="62"/>
        <v>С*</v>
      </c>
      <c r="C173" s="13">
        <f t="shared" si="73"/>
        <v>9425.4032258064453</v>
      </c>
      <c r="D173" s="21"/>
      <c r="E173" s="13">
        <f>'Исходные данные'!$C$71*'Исходные данные'!$H$8</f>
        <v>30000</v>
      </c>
      <c r="F173" s="17">
        <f>(C11*D15+C20*D15+C29*D24+C38*D33+C47*D42+C56*D51+C65*D60+C74*D69+C83*D78+C92*D87+C101*D96+C110*D105+C119*D114+C128*D123+C137*D132+C146*D141+C155*D150)*'Исходные данные'!$E$8/12*3</f>
        <v>95378.289473684214</v>
      </c>
      <c r="G173" s="24"/>
      <c r="H173" s="25"/>
      <c r="I173" s="22"/>
      <c r="J173" s="13">
        <f t="shared" si="74"/>
        <v>1478909.5131448442</v>
      </c>
      <c r="K173" s="21"/>
      <c r="L173" s="13">
        <f t="shared" si="75"/>
        <v>735000</v>
      </c>
      <c r="M173" s="21"/>
      <c r="N173" s="22"/>
    </row>
    <row r="174" spans="1:14" x14ac:dyDescent="0.25">
      <c r="A174" s="14"/>
      <c r="B174" s="17" t="str">
        <f t="shared" si="62"/>
        <v xml:space="preserve">I </v>
      </c>
      <c r="C174" s="13">
        <f t="shared" si="73"/>
        <v>9425.4032258064453</v>
      </c>
      <c r="D174" s="21"/>
      <c r="E174" s="13">
        <f>'Исходные данные'!$C$71*'Исходные данные'!$H$9</f>
        <v>30000</v>
      </c>
      <c r="F174" s="17">
        <f>(C156*D150)*'Исходные данные'!$E$9/12*3</f>
        <v>0</v>
      </c>
      <c r="G174" s="24"/>
      <c r="H174" s="25"/>
      <c r="I174" s="22"/>
      <c r="J174" s="13">
        <f t="shared" si="74"/>
        <v>1478909.5131448442</v>
      </c>
      <c r="K174" s="21"/>
      <c r="L174" s="13">
        <f t="shared" si="75"/>
        <v>735000</v>
      </c>
      <c r="M174" s="21"/>
      <c r="N174" s="22"/>
    </row>
    <row r="175" spans="1:14" x14ac:dyDescent="0.25">
      <c r="A175" s="14"/>
      <c r="B175" s="6" t="str">
        <f t="shared" ref="B175:B176" si="76">B166</f>
        <v>R*</v>
      </c>
      <c r="C175" s="13">
        <f t="shared" si="73"/>
        <v>18850.806451612891</v>
      </c>
      <c r="D175" s="21"/>
      <c r="E175" s="13">
        <f>'Исходные данные'!$C$71*'Исходные данные'!$H$10</f>
        <v>60000</v>
      </c>
      <c r="F175" s="17">
        <f>(C13*D15+C22*D15+C31*D24+C40*D33+C49*D42+C58*D51+C67*D60+C76*D69+C85*D78+C94*D87+C103*D96+C112*D105+C121*D114+C130*D123+C139*D132+C148*D141+C157*D150)*'Исходные данные'!$E$10/12*3</f>
        <v>190756.57894736843</v>
      </c>
      <c r="G175" s="24"/>
      <c r="H175" s="25"/>
      <c r="I175" s="22"/>
      <c r="J175" s="13">
        <f t="shared" si="74"/>
        <v>2957819.0262896884</v>
      </c>
      <c r="K175" s="21"/>
      <c r="L175" s="13">
        <f t="shared" si="75"/>
        <v>1470000</v>
      </c>
      <c r="M175" s="21"/>
      <c r="N175" s="22"/>
    </row>
    <row r="176" spans="1:14" x14ac:dyDescent="0.25">
      <c r="A176" s="14"/>
      <c r="B176" s="6" t="str">
        <f t="shared" si="76"/>
        <v>А*</v>
      </c>
      <c r="C176" s="13">
        <f t="shared" si="73"/>
        <v>9425.4032258064453</v>
      </c>
      <c r="D176" s="21"/>
      <c r="E176" s="13">
        <f>'Исходные данные'!$C$71*'Исходные данные'!$H$11</f>
        <v>30000</v>
      </c>
      <c r="F176" s="17">
        <f>(C14*D15+C23*D15+C32*D24+C41*D33+C50*D42+C59*D51+C68*D60+C77*D69+C86*D78+C95*D87+C104*D96+C113*D105+C122*D114+C131*D123+C140*D132+C149*D141+C158*D150)*'Исходные данные'!$G$11/12*3</f>
        <v>95378.289473684214</v>
      </c>
      <c r="G176" s="24"/>
      <c r="H176" s="25"/>
      <c r="I176" s="22"/>
      <c r="J176" s="13">
        <f t="shared" si="74"/>
        <v>1478909.5131448442</v>
      </c>
      <c r="K176" s="21"/>
      <c r="L176" s="13">
        <f t="shared" si="75"/>
        <v>735000</v>
      </c>
      <c r="M176" s="21"/>
      <c r="N176" s="22"/>
    </row>
    <row r="177" spans="13:13" x14ac:dyDescent="0.25">
      <c r="M177" s="10"/>
    </row>
    <row r="178" spans="13:13" x14ac:dyDescent="0.25">
      <c r="M178" s="10"/>
    </row>
    <row r="179" spans="13:13" x14ac:dyDescent="0.25">
      <c r="M179" s="10"/>
    </row>
    <row r="180" spans="13:13" x14ac:dyDescent="0.25">
      <c r="M180" s="10"/>
    </row>
    <row r="181" spans="13:13" x14ac:dyDescent="0.25">
      <c r="M181" s="10"/>
    </row>
    <row r="182" spans="13:13" x14ac:dyDescent="0.25">
      <c r="M182" s="10"/>
    </row>
    <row r="183" spans="13:13" x14ac:dyDescent="0.25">
      <c r="M183" s="10"/>
    </row>
    <row r="184" spans="13:13" x14ac:dyDescent="0.25">
      <c r="M184" s="10"/>
    </row>
    <row r="185" spans="13:13" x14ac:dyDescent="0.25">
      <c r="M185" s="10"/>
    </row>
    <row r="186" spans="13:13" x14ac:dyDescent="0.25">
      <c r="M186" s="10"/>
    </row>
    <row r="187" spans="13:13" x14ac:dyDescent="0.25">
      <c r="M187" s="10"/>
    </row>
    <row r="188" spans="13:13" x14ac:dyDescent="0.25">
      <c r="M188" s="10"/>
    </row>
    <row r="189" spans="13:13" x14ac:dyDescent="0.25">
      <c r="M189" s="10"/>
    </row>
    <row r="190" spans="13:13" x14ac:dyDescent="0.25">
      <c r="M190" s="10"/>
    </row>
    <row r="191" spans="13:13" x14ac:dyDescent="0.25">
      <c r="M191" s="10"/>
    </row>
    <row r="192" spans="13:13" x14ac:dyDescent="0.25">
      <c r="M192" s="10"/>
    </row>
    <row r="193" spans="13:13" x14ac:dyDescent="0.25">
      <c r="M193" s="10"/>
    </row>
    <row r="194" spans="13:13" x14ac:dyDescent="0.25">
      <c r="M194" s="10"/>
    </row>
    <row r="195" spans="13:13" x14ac:dyDescent="0.25">
      <c r="M195" s="10"/>
    </row>
    <row r="196" spans="13:13" x14ac:dyDescent="0.25">
      <c r="M196" s="10"/>
    </row>
    <row r="197" spans="13:13" x14ac:dyDescent="0.25">
      <c r="M197" s="10"/>
    </row>
    <row r="198" spans="13:13" x14ac:dyDescent="0.25">
      <c r="M198" s="10"/>
    </row>
    <row r="199" spans="13:13" x14ac:dyDescent="0.25">
      <c r="M199" s="10"/>
    </row>
    <row r="200" spans="13:13" x14ac:dyDescent="0.25">
      <c r="M200" s="10"/>
    </row>
    <row r="201" spans="13:13" x14ac:dyDescent="0.25">
      <c r="M201" s="10"/>
    </row>
    <row r="202" spans="13:13" x14ac:dyDescent="0.25">
      <c r="M202" s="10"/>
    </row>
    <row r="203" spans="13:13" x14ac:dyDescent="0.25">
      <c r="M203" s="10"/>
    </row>
    <row r="204" spans="13:13" x14ac:dyDescent="0.25">
      <c r="M204" s="10"/>
    </row>
    <row r="205" spans="13:13" x14ac:dyDescent="0.25">
      <c r="M205" s="10"/>
    </row>
    <row r="206" spans="13:13" x14ac:dyDescent="0.25">
      <c r="M206" s="10"/>
    </row>
    <row r="207" spans="13:13" x14ac:dyDescent="0.25">
      <c r="M207" s="10"/>
    </row>
    <row r="208" spans="13:13" x14ac:dyDescent="0.25">
      <c r="M208" s="10"/>
    </row>
    <row r="209" spans="13:13" x14ac:dyDescent="0.25">
      <c r="M209" s="10"/>
    </row>
    <row r="210" spans="13:13" x14ac:dyDescent="0.25">
      <c r="M210" s="10"/>
    </row>
    <row r="211" spans="13:13" x14ac:dyDescent="0.25">
      <c r="M211" s="10"/>
    </row>
    <row r="212" spans="13:13" x14ac:dyDescent="0.25">
      <c r="M212" s="10"/>
    </row>
    <row r="213" spans="13:13" x14ac:dyDescent="0.25">
      <c r="M213" s="10"/>
    </row>
    <row r="214" spans="13:13" x14ac:dyDescent="0.25">
      <c r="M214" s="10"/>
    </row>
    <row r="215" spans="13:13" x14ac:dyDescent="0.25">
      <c r="M215" s="10"/>
    </row>
    <row r="216" spans="13:13" x14ac:dyDescent="0.25">
      <c r="M216" s="10"/>
    </row>
    <row r="217" spans="13:13" x14ac:dyDescent="0.25">
      <c r="M217" s="10"/>
    </row>
    <row r="218" spans="13:13" x14ac:dyDescent="0.25">
      <c r="M218" s="10"/>
    </row>
    <row r="219" spans="13:13" x14ac:dyDescent="0.25">
      <c r="M219" s="10"/>
    </row>
    <row r="220" spans="13:13" x14ac:dyDescent="0.25">
      <c r="M220" s="10"/>
    </row>
    <row r="221" spans="13:13" x14ac:dyDescent="0.25">
      <c r="M221" s="10"/>
    </row>
    <row r="222" spans="13:13" x14ac:dyDescent="0.25">
      <c r="M222" s="10"/>
    </row>
    <row r="223" spans="13:13" x14ac:dyDescent="0.25">
      <c r="M223" s="10"/>
    </row>
    <row r="224" spans="13:13" x14ac:dyDescent="0.25">
      <c r="M224" s="10"/>
    </row>
    <row r="225" spans="13:13" x14ac:dyDescent="0.25">
      <c r="M225" s="10"/>
    </row>
    <row r="226" spans="13:13" x14ac:dyDescent="0.25">
      <c r="M226" s="10"/>
    </row>
    <row r="227" spans="13:13" x14ac:dyDescent="0.25">
      <c r="M227" s="10"/>
    </row>
    <row r="228" spans="13:13" x14ac:dyDescent="0.25">
      <c r="M228" s="10"/>
    </row>
    <row r="229" spans="13:13" x14ac:dyDescent="0.25">
      <c r="M229" s="10"/>
    </row>
    <row r="230" spans="13:13" x14ac:dyDescent="0.25">
      <c r="M230" s="10"/>
    </row>
    <row r="231" spans="13:13" x14ac:dyDescent="0.25">
      <c r="M231" s="10"/>
    </row>
    <row r="232" spans="13:13" x14ac:dyDescent="0.25">
      <c r="M232" s="10"/>
    </row>
    <row r="233" spans="13:13" x14ac:dyDescent="0.25">
      <c r="M233" s="10"/>
    </row>
    <row r="234" spans="13:13" x14ac:dyDescent="0.25">
      <c r="M234" s="10"/>
    </row>
    <row r="235" spans="13:13" x14ac:dyDescent="0.25">
      <c r="M235" s="10"/>
    </row>
    <row r="236" spans="13:13" x14ac:dyDescent="0.25">
      <c r="M236" s="10"/>
    </row>
  </sheetData>
  <sheetProtection algorithmName="SHA-512" hashValue="qeodNgcdT4FlXDCuNkWYd0w0ZyP5ULuXuidwejEHvTVoHs4gitMQYn/1GGElMNAFOKz5Dyn94prQBcaVVQFlmw==" saltValue="fQ0PJiZhZ+LzLGR+PUYBMQ==" spinCount="100000" sheet="1" objects="1" scenarios="1"/>
  <mergeCells count="144">
    <mergeCell ref="N15:N23"/>
    <mergeCell ref="N6:N14"/>
    <mergeCell ref="N24:N32"/>
    <mergeCell ref="N33:N41"/>
    <mergeCell ref="K6:K14"/>
    <mergeCell ref="M24:M32"/>
    <mergeCell ref="M33:M41"/>
    <mergeCell ref="G6:G14"/>
    <mergeCell ref="I6:I14"/>
    <mergeCell ref="D42:D50"/>
    <mergeCell ref="G42:G50"/>
    <mergeCell ref="I42:I50"/>
    <mergeCell ref="K42:K50"/>
    <mergeCell ref="K15:K23"/>
    <mergeCell ref="D15:D23"/>
    <mergeCell ref="G15:G23"/>
    <mergeCell ref="I15:I23"/>
    <mergeCell ref="H6:H14"/>
    <mergeCell ref="H15:H23"/>
    <mergeCell ref="D6:D14"/>
    <mergeCell ref="D24:D32"/>
    <mergeCell ref="G24:G32"/>
    <mergeCell ref="I24:I32"/>
    <mergeCell ref="K24:K32"/>
    <mergeCell ref="H24:H32"/>
    <mergeCell ref="D33:D41"/>
    <mergeCell ref="G33:G41"/>
    <mergeCell ref="I33:I41"/>
    <mergeCell ref="K33:K41"/>
    <mergeCell ref="H33:H41"/>
    <mergeCell ref="J2:N2"/>
    <mergeCell ref="J3:L3"/>
    <mergeCell ref="A2:A4"/>
    <mergeCell ref="B2:B4"/>
    <mergeCell ref="C2:I2"/>
    <mergeCell ref="I3:I4"/>
    <mergeCell ref="H3:H4"/>
    <mergeCell ref="M3:M4"/>
    <mergeCell ref="N3:N4"/>
    <mergeCell ref="C3:E3"/>
    <mergeCell ref="F3:G3"/>
    <mergeCell ref="D96:D104"/>
    <mergeCell ref="D105:D113"/>
    <mergeCell ref="N51:N59"/>
    <mergeCell ref="H42:H50"/>
    <mergeCell ref="H51:H59"/>
    <mergeCell ref="D60:D68"/>
    <mergeCell ref="G60:G68"/>
    <mergeCell ref="H60:H68"/>
    <mergeCell ref="I60:I68"/>
    <mergeCell ref="K60:K68"/>
    <mergeCell ref="N60:N68"/>
    <mergeCell ref="D51:D59"/>
    <mergeCell ref="G51:G59"/>
    <mergeCell ref="I51:I59"/>
    <mergeCell ref="K51:K59"/>
    <mergeCell ref="N42:N50"/>
    <mergeCell ref="K69:K77"/>
    <mergeCell ref="N69:N77"/>
    <mergeCell ref="G78:G86"/>
    <mergeCell ref="H78:H86"/>
    <mergeCell ref="I78:I86"/>
    <mergeCell ref="K78:K86"/>
    <mergeCell ref="N78:N86"/>
    <mergeCell ref="M69:M77"/>
    <mergeCell ref="D159:D167"/>
    <mergeCell ref="D168:D176"/>
    <mergeCell ref="G69:G77"/>
    <mergeCell ref="H69:H77"/>
    <mergeCell ref="I69:I77"/>
    <mergeCell ref="G87:G95"/>
    <mergeCell ref="H87:H95"/>
    <mergeCell ref="I87:I95"/>
    <mergeCell ref="G105:G113"/>
    <mergeCell ref="H105:H113"/>
    <mergeCell ref="I105:I113"/>
    <mergeCell ref="G123:G131"/>
    <mergeCell ref="H123:H131"/>
    <mergeCell ref="I123:I131"/>
    <mergeCell ref="G141:G149"/>
    <mergeCell ref="H141:H149"/>
    <mergeCell ref="D114:D122"/>
    <mergeCell ref="D123:D131"/>
    <mergeCell ref="D132:D140"/>
    <mergeCell ref="D141:D149"/>
    <mergeCell ref="D150:D158"/>
    <mergeCell ref="D69:D77"/>
    <mergeCell ref="D78:D86"/>
    <mergeCell ref="D87:D95"/>
    <mergeCell ref="M78:M86"/>
    <mergeCell ref="K87:K95"/>
    <mergeCell ref="N87:N95"/>
    <mergeCell ref="G96:G104"/>
    <mergeCell ref="H96:H104"/>
    <mergeCell ref="I96:I104"/>
    <mergeCell ref="K96:K104"/>
    <mergeCell ref="N96:N104"/>
    <mergeCell ref="M87:M95"/>
    <mergeCell ref="M96:M104"/>
    <mergeCell ref="K105:K113"/>
    <mergeCell ref="N105:N113"/>
    <mergeCell ref="G114:G122"/>
    <mergeCell ref="H114:H122"/>
    <mergeCell ref="I114:I122"/>
    <mergeCell ref="K114:K122"/>
    <mergeCell ref="N114:N122"/>
    <mergeCell ref="M105:M113"/>
    <mergeCell ref="M114:M122"/>
    <mergeCell ref="N150:N158"/>
    <mergeCell ref="M141:M149"/>
    <mergeCell ref="M150:M158"/>
    <mergeCell ref="K123:K131"/>
    <mergeCell ref="N123:N131"/>
    <mergeCell ref="G132:G140"/>
    <mergeCell ref="H132:H140"/>
    <mergeCell ref="I132:I140"/>
    <mergeCell ref="K132:K140"/>
    <mergeCell ref="N132:N140"/>
    <mergeCell ref="M123:M131"/>
    <mergeCell ref="M132:M140"/>
    <mergeCell ref="M42:M50"/>
    <mergeCell ref="M51:M59"/>
    <mergeCell ref="M60:M68"/>
    <mergeCell ref="M6:M14"/>
    <mergeCell ref="M15:M23"/>
    <mergeCell ref="N159:N167"/>
    <mergeCell ref="G168:G176"/>
    <mergeCell ref="H168:H176"/>
    <mergeCell ref="I168:I176"/>
    <mergeCell ref="K168:K176"/>
    <mergeCell ref="N168:N176"/>
    <mergeCell ref="M159:M167"/>
    <mergeCell ref="M168:M176"/>
    <mergeCell ref="G159:G167"/>
    <mergeCell ref="H159:H167"/>
    <mergeCell ref="I159:I167"/>
    <mergeCell ref="K159:K167"/>
    <mergeCell ref="I141:I149"/>
    <mergeCell ref="K141:K149"/>
    <mergeCell ref="N141:N149"/>
    <mergeCell ref="G150:G158"/>
    <mergeCell ref="H150:H158"/>
    <mergeCell ref="I150:I158"/>
    <mergeCell ref="K150:K158"/>
  </mergeCells>
  <pageMargins left="0.23622047244094491" right="0.23622047244094491" top="0.74803149606299213" bottom="0.74803149606299213" header="0" footer="0"/>
  <pageSetup paperSize="9" scale="8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Исходные данные</vt:lpstr>
      <vt:lpstr>Финмодель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2022-06-10T14:01:25Z</dcterms:modified>
</cp:coreProperties>
</file>